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d.docs.live.net/b0a93e05ddffab3b/Desktop/CONSULTORIA AMBIENTAL - CLIENTES/PREFEITURA JOIA/02. PLANILHAS poco e limpeza/PLANILHA servicos limpeza/01 PLANILHA DE CUSTOS/"/>
    </mc:Choice>
  </mc:AlternateContent>
  <xr:revisionPtr revIDLastSave="3" documentId="8_{E37B59CD-C166-44C3-8BEA-CFE79DD87121}" xr6:coauthVersionLast="47" xr6:coauthVersionMax="47" xr10:uidLastSave="{318728F8-C2C7-4D60-AB56-73BD863BEB9D}"/>
  <bookViews>
    <workbookView xWindow="-108" yWindow="-108" windowWidth="23256" windowHeight="12456" tabRatio="756" xr2:uid="{00000000-000D-0000-FFFF-FFFF00000000}"/>
  </bookViews>
  <sheets>
    <sheet name="Orçamento Base " sheetId="5" r:id="rId1"/>
    <sheet name="Custo da Operação Geral " sheetId="6" r:id="rId2"/>
    <sheet name="Custo da Operação Braçal" sheetId="9" r:id="rId3"/>
    <sheet name="BDI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8" l="1"/>
  <c r="F10" i="8"/>
  <c r="C106" i="9"/>
  <c r="E93" i="9"/>
  <c r="D94" i="9" s="1"/>
  <c r="D84" i="9"/>
  <c r="D82" i="9"/>
  <c r="B78" i="9"/>
  <c r="C89" i="9" s="1"/>
  <c r="E89" i="9" s="1"/>
  <c r="F90" i="9" s="1"/>
  <c r="E73" i="9"/>
  <c r="E72" i="9"/>
  <c r="D71" i="9"/>
  <c r="E71" i="9" s="1"/>
  <c r="C67" i="9"/>
  <c r="C62" i="9"/>
  <c r="E62" i="9" s="1"/>
  <c r="D65" i="9" s="1"/>
  <c r="E50" i="9"/>
  <c r="E49" i="9"/>
  <c r="E48" i="9"/>
  <c r="E47" i="9"/>
  <c r="E46" i="9"/>
  <c r="E45" i="9"/>
  <c r="E44" i="9"/>
  <c r="E36" i="9"/>
  <c r="F37" i="9" s="1"/>
  <c r="D36" i="9"/>
  <c r="E35" i="9"/>
  <c r="D31" i="9"/>
  <c r="E31" i="9" s="1"/>
  <c r="F32" i="9" s="1"/>
  <c r="E30" i="9"/>
  <c r="E26" i="9"/>
  <c r="D24" i="9"/>
  <c r="E24" i="9" s="1"/>
  <c r="E23" i="9"/>
  <c r="E25" i="9" s="1"/>
  <c r="F26" i="9" s="1"/>
  <c r="D16" i="9"/>
  <c r="E16" i="9" s="1"/>
  <c r="D15" i="9"/>
  <c r="E15" i="9" s="1"/>
  <c r="D14" i="9"/>
  <c r="E14" i="9" s="1"/>
  <c r="E17" i="9" s="1"/>
  <c r="D18" i="9" s="1"/>
  <c r="E18" i="9" s="1"/>
  <c r="F19" i="9" s="1"/>
  <c r="E12" i="9"/>
  <c r="E26" i="6"/>
  <c r="E16" i="6"/>
  <c r="D16" i="6"/>
  <c r="D15" i="6"/>
  <c r="D14" i="6"/>
  <c r="E14" i="6" s="1"/>
  <c r="E23" i="6"/>
  <c r="E13" i="8"/>
  <c r="D13" i="8"/>
  <c r="F11" i="8"/>
  <c r="F9" i="8"/>
  <c r="F7" i="8"/>
  <c r="F6" i="8"/>
  <c r="F5" i="8"/>
  <c r="F13" i="8"/>
  <c r="C106" i="6" s="1"/>
  <c r="D24" i="6"/>
  <c r="E24" i="6" s="1"/>
  <c r="E51" i="9" l="1"/>
  <c r="D52" i="9" s="1"/>
  <c r="E52" i="9" s="1"/>
  <c r="F53" i="9" s="1"/>
  <c r="F55" i="9" s="1"/>
  <c r="E74" i="9"/>
  <c r="F75" i="9" s="1"/>
  <c r="C82" i="9"/>
  <c r="C84" i="9" s="1"/>
  <c r="E84" i="9" s="1"/>
  <c r="C95" i="9"/>
  <c r="D85" i="9"/>
  <c r="F40" i="9"/>
  <c r="F57" i="9" s="1"/>
  <c r="E65" i="9"/>
  <c r="D66" i="9" s="1"/>
  <c r="D67" i="9" s="1"/>
  <c r="E67" i="9" s="1"/>
  <c r="F68" i="9" s="1"/>
  <c r="E94" i="9"/>
  <c r="D95" i="9"/>
  <c r="E95" i="9" s="1"/>
  <c r="F96" i="9" s="1"/>
  <c r="C85" i="9"/>
  <c r="E85" i="9" s="1"/>
  <c r="F86" i="9" s="1"/>
  <c r="E25" i="6"/>
  <c r="F26" i="6" s="1"/>
  <c r="D36" i="6"/>
  <c r="E36" i="6" s="1"/>
  <c r="F37" i="6" s="1"/>
  <c r="D31" i="6"/>
  <c r="E31" i="6" s="1"/>
  <c r="F32" i="6" s="1"/>
  <c r="E93" i="6"/>
  <c r="D94" i="6" s="1"/>
  <c r="D84" i="6"/>
  <c r="D82" i="6"/>
  <c r="B78" i="6"/>
  <c r="C89" i="6" s="1"/>
  <c r="E89" i="6" s="1"/>
  <c r="F90" i="6" s="1"/>
  <c r="E73" i="6"/>
  <c r="E72" i="6"/>
  <c r="D71" i="6"/>
  <c r="E71" i="6" s="1"/>
  <c r="C67" i="6"/>
  <c r="C62" i="6"/>
  <c r="E62" i="6" s="1"/>
  <c r="D65" i="6" s="1"/>
  <c r="E50" i="6"/>
  <c r="E49" i="6"/>
  <c r="E48" i="6"/>
  <c r="E47" i="6"/>
  <c r="E46" i="6"/>
  <c r="E45" i="6"/>
  <c r="E44" i="6"/>
  <c r="E30" i="6"/>
  <c r="E12" i="6"/>
  <c r="A20" i="5"/>
  <c r="F98" i="9" l="1"/>
  <c r="F100" i="9" s="1"/>
  <c r="F102" i="9" s="1"/>
  <c r="E82" i="9"/>
  <c r="D106" i="9"/>
  <c r="E106" i="9" s="1"/>
  <c r="F107" i="9" s="1"/>
  <c r="F109" i="9" s="1"/>
  <c r="F5" i="5" s="1"/>
  <c r="E15" i="6"/>
  <c r="E17" i="6" s="1"/>
  <c r="C95" i="6"/>
  <c r="E74" i="6"/>
  <c r="F75" i="6" s="1"/>
  <c r="E51" i="6"/>
  <c r="D52" i="6" s="1"/>
  <c r="E52" i="6" s="1"/>
  <c r="F53" i="6" s="1"/>
  <c r="C85" i="6"/>
  <c r="C82" i="6"/>
  <c r="C84" i="6" s="1"/>
  <c r="E84" i="6" s="1"/>
  <c r="E35" i="6"/>
  <c r="E94" i="6"/>
  <c r="D95" i="6"/>
  <c r="E65" i="6"/>
  <c r="D66" i="6" s="1"/>
  <c r="D67" i="6" s="1"/>
  <c r="E67" i="6" s="1"/>
  <c r="F68" i="6" s="1"/>
  <c r="D85" i="6"/>
  <c r="D18" i="6" l="1"/>
  <c r="E95" i="6"/>
  <c r="F96" i="6" s="1"/>
  <c r="F55" i="6"/>
  <c r="E85" i="6"/>
  <c r="F86" i="6" s="1"/>
  <c r="E82" i="6"/>
  <c r="F98" i="6" l="1"/>
  <c r="F100" i="6" s="1"/>
  <c r="E18" i="6"/>
  <c r="F15" i="5"/>
  <c r="F19" i="6" l="1"/>
  <c r="F40" i="6" s="1"/>
  <c r="F57" i="6" s="1"/>
  <c r="F102" i="6" s="1"/>
  <c r="D106" i="6" s="1"/>
  <c r="E106" i="6" s="1"/>
  <c r="F107" i="6" s="1"/>
  <c r="F109" i="6" l="1"/>
  <c r="F4" i="5" s="1"/>
  <c r="F7" i="5" l="1"/>
  <c r="F9" i="5" s="1"/>
  <c r="F14" i="5"/>
  <c r="F16" i="5" s="1"/>
  <c r="F2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Elisa</author>
    <author>Clauber Bridi</author>
  </authors>
  <commentList>
    <comment ref="D12" authorId="0" shapeId="0" xr:uid="{B69D3510-BF74-42F9-9EE2-8AD626DE060E}">
      <text>
        <r>
          <rPr>
            <b/>
            <sz val="9"/>
            <color indexed="81"/>
            <rFont val="Segoe UI"/>
            <family val="2"/>
          </rPr>
          <t xml:space="preserve">Ref: </t>
        </r>
        <r>
          <rPr>
            <sz val="9"/>
            <color indexed="81"/>
            <rFont val="Segoe UI"/>
            <family val="2"/>
          </rPr>
          <t>piso da categoria do atividade do profissional / Convenção Coletiva FEACC RS</t>
        </r>
      </text>
    </comment>
    <comment ref="C15" authorId="0" shapeId="0" xr:uid="{52D93628-03B9-4CAE-9D84-D382D76B2210}">
      <text>
        <r>
          <rPr>
            <b/>
            <sz val="9"/>
            <color indexed="81"/>
            <rFont val="Segoe UI"/>
            <family val="2"/>
          </rPr>
          <t xml:space="preserve">REF: </t>
        </r>
        <r>
          <rPr>
            <sz val="9"/>
            <color indexed="81"/>
            <rFont val="Segoe UI"/>
            <family val="2"/>
          </rPr>
          <t>Adicional baseado na convenção da categoria da atividade (Clausula 17 Insalubridade ''a'' da convenção coletiva 2026)</t>
        </r>
      </text>
    </comment>
    <comment ref="C16" authorId="0" shapeId="0" xr:uid="{B70A8BFA-B579-4D52-8C10-3C1854336A18}">
      <text>
        <r>
          <rPr>
            <b/>
            <sz val="9"/>
            <color indexed="81"/>
            <rFont val="Segoe UI"/>
            <family val="2"/>
          </rPr>
          <t xml:space="preserve">REF: </t>
        </r>
        <r>
          <rPr>
            <sz val="9"/>
            <color indexed="81"/>
            <rFont val="Segoe UI"/>
            <family val="2"/>
          </rPr>
          <t>Encargos considerados sob a atividade desenvolvida
Encargos legais - 36%
Provisões - 19%
Outros (FU + afastamentos) - 15%</t>
        </r>
      </text>
    </comment>
    <comment ref="C18" authorId="0" shapeId="0" xr:uid="{D6E43224-5920-4AF6-AA14-A912E9BF54F6}">
      <text>
        <r>
          <rPr>
            <b/>
            <sz val="9"/>
            <color indexed="81"/>
            <rFont val="Segoe UI"/>
            <family val="2"/>
          </rPr>
          <t xml:space="preserve">REF: </t>
        </r>
        <r>
          <rPr>
            <sz val="9"/>
            <color indexed="81"/>
            <rFont val="Segoe UI"/>
            <family val="2"/>
          </rPr>
          <t>Tempo de desenvolvimento da atividade conforme histórico do município (comparativo desde ano 2020)
Horas trabalhadas + horas de deslocamentos</t>
        </r>
      </text>
    </comment>
    <comment ref="D23" authorId="0" shapeId="0" xr:uid="{721AEE3B-0752-4257-B9EE-8B4D76DD040E}">
      <text>
        <r>
          <rPr>
            <b/>
            <sz val="9"/>
            <color indexed="81"/>
            <rFont val="Segoe UI"/>
            <family val="2"/>
          </rPr>
          <t xml:space="preserve">Ref: </t>
        </r>
        <r>
          <rPr>
            <sz val="9"/>
            <color indexed="81"/>
            <rFont val="Segoe UI"/>
            <family val="2"/>
          </rPr>
          <t>piso da categoria do atividade do profissional / Convenção Coletiva FEACC RS</t>
        </r>
      </text>
    </comment>
    <comment ref="C24" authorId="0" shapeId="0" xr:uid="{FAEB47E6-06B6-483E-ADE8-3BC5D34980E8}">
      <text>
        <r>
          <rPr>
            <b/>
            <sz val="9"/>
            <color indexed="81"/>
            <rFont val="Segoe UI"/>
            <family val="2"/>
          </rPr>
          <t xml:space="preserve">REF: </t>
        </r>
        <r>
          <rPr>
            <sz val="9"/>
            <color indexed="81"/>
            <rFont val="Segoe UI"/>
            <family val="2"/>
          </rPr>
          <t>Encargos considerados sob a atividade desenvolvida
Encargos legais - 36%
Provisões - 19%
Outros (FU + afastamentos) - 15%</t>
        </r>
      </text>
    </comment>
    <comment ref="D30" authorId="0" shapeId="0" xr:uid="{5879F39E-FD49-446B-BFBE-A13685A200DD}">
      <text>
        <r>
          <rPr>
            <b/>
            <sz val="9"/>
            <color indexed="81"/>
            <rFont val="Segoe UI"/>
            <family val="2"/>
          </rPr>
          <t xml:space="preserve">Ref: </t>
        </r>
        <r>
          <rPr>
            <sz val="9"/>
            <color indexed="81"/>
            <rFont val="Segoe UI"/>
            <family val="2"/>
          </rPr>
          <t>base de dados licitacon</t>
        </r>
      </text>
    </comment>
    <comment ref="D35" authorId="0" shapeId="0" xr:uid="{FDC4140C-F0FE-48C2-9D0C-2FB83BDAD010}">
      <text>
        <r>
          <rPr>
            <b/>
            <sz val="9"/>
            <color indexed="81"/>
            <rFont val="Segoe UI"/>
            <family val="2"/>
          </rPr>
          <t xml:space="preserve">Ref: </t>
        </r>
        <r>
          <rPr>
            <sz val="9"/>
            <color indexed="81"/>
            <rFont val="Segoe UI"/>
            <family val="2"/>
          </rPr>
          <t>valor da hora X horas trabalhadas</t>
        </r>
      </text>
    </comment>
    <comment ref="C44" authorId="0" shapeId="0" xr:uid="{658D69BC-AC9A-42F4-B93F-6770D28B69B4}">
      <text>
        <r>
          <rPr>
            <b/>
            <sz val="9"/>
            <color indexed="81"/>
            <rFont val="Segoe UI"/>
            <charset val="1"/>
          </rPr>
          <t>REF: tempo de durabilidade dos EPIS</t>
        </r>
      </text>
    </comment>
    <comment ref="D62" authorId="1" shapeId="0" xr:uid="{461C48AD-A522-4ECE-B29E-2669AFBE1FA0}">
      <text>
        <r>
          <rPr>
            <sz val="9"/>
            <color indexed="81"/>
            <rFont val="Tahoma"/>
            <family val="2"/>
          </rPr>
          <t xml:space="preserve">Informar o preço unitário do veículo utilizado na atividade 
</t>
        </r>
      </text>
    </comment>
    <comment ref="C63" authorId="1" shapeId="0" xr:uid="{1F0E4864-20CC-4351-B05C-4F01D8E2F3E1}">
      <text>
        <r>
          <rPr>
            <sz val="9"/>
            <color indexed="81"/>
            <rFont val="Tahoma"/>
            <family val="2"/>
          </rPr>
          <t>Informar a vida útil estimada para o veículo, em anos</t>
        </r>
      </text>
    </comment>
    <comment ref="C64" authorId="1" shapeId="0" xr:uid="{27A2801F-A25A-428E-BC74-C97FA27FD8B9}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veículo proposto.</t>
        </r>
      </text>
    </comment>
    <comment ref="C65" authorId="1" shapeId="0" xr:uid="{7ADF32AF-401B-497A-AD9E-E96F26058936}">
      <text>
        <r>
          <rPr>
            <b/>
            <sz val="9"/>
            <color indexed="81"/>
            <rFont val="Tahoma"/>
            <family val="2"/>
          </rPr>
          <t>Valor residual do veículo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2" authorId="1" shapeId="0" xr:uid="{072A51F1-0BB0-40AD-B873-DEF8BFB7A989}">
      <text>
        <r>
          <rPr>
            <sz val="9"/>
            <color indexed="81"/>
            <rFont val="Tahoma"/>
            <family val="2"/>
          </rPr>
          <t xml:space="preserve">Informar o valor do seguro obrigatório e licenciamento anual de um caminhão
</t>
        </r>
      </text>
    </comment>
    <comment ref="D73" authorId="1" shapeId="0" xr:uid="{508267BB-2740-49C6-943C-6B9CC902CDC5}">
      <text>
        <r>
          <rPr>
            <sz val="9"/>
            <color indexed="81"/>
            <rFont val="Tahoma"/>
            <family val="2"/>
          </rPr>
          <t xml:space="preserve">Informar o valor do seguro contra terceiros de um caminhão, se houver previsão no Projeto Básico
</t>
        </r>
      </text>
    </comment>
    <comment ref="B78" authorId="1" shapeId="0" xr:uid="{745D224E-D345-495A-B390-DE8D68F0B7C2}">
      <text>
        <r>
          <rPr>
            <sz val="9"/>
            <color indexed="81"/>
            <rFont val="Tahoma"/>
            <family val="2"/>
          </rPr>
          <t xml:space="preserve">REF: média mensal estimado com postos de trabalho rurais 
</t>
        </r>
      </text>
    </comment>
    <comment ref="C81" authorId="1" shapeId="0" xr:uid="{A0EC625E-41C9-4386-9194-8C6971186C72}">
      <text>
        <r>
          <rPr>
            <sz val="9"/>
            <color indexed="81"/>
            <rFont val="Tahoma"/>
            <family val="2"/>
          </rPr>
          <t>Informar o consumo estimado do veículo em km/l</t>
        </r>
      </text>
    </comment>
    <comment ref="D81" authorId="1" shapeId="0" xr:uid="{EF5C1041-5A78-482B-B5BD-BC2A53799924}">
      <text>
        <r>
          <rPr>
            <sz val="9"/>
            <color indexed="81"/>
            <rFont val="Tahoma"/>
            <family val="2"/>
          </rPr>
          <t>Informar o preço unitário do combustivel</t>
        </r>
      </text>
    </comment>
    <comment ref="C83" authorId="1" shapeId="0" xr:uid="{46AC9954-9D31-4AC1-BB4E-C6F623230E0B}">
      <text>
        <r>
          <rPr>
            <sz val="9"/>
            <color indexed="81"/>
            <rFont val="Tahoma"/>
            <family val="2"/>
          </rPr>
          <t>Informar o consumo de graxa a cada 1000km</t>
        </r>
      </text>
    </comment>
    <comment ref="D83" authorId="1" shapeId="0" xr:uid="{80821609-2904-4A91-BE11-EAFDD9B29011}">
      <text>
        <r>
          <rPr>
            <sz val="9"/>
            <color indexed="81"/>
            <rFont val="Tahoma"/>
            <family val="2"/>
          </rPr>
          <t xml:space="preserve">Informar o preço unitário do serviço de troca de óleo
</t>
        </r>
      </text>
    </comment>
    <comment ref="D89" authorId="1" shapeId="0" xr:uid="{CBB79E6A-ABBA-4270-A4DD-9C675EED50BA}">
      <text>
        <r>
          <rPr>
            <sz val="9"/>
            <color indexed="81"/>
            <rFont val="Tahoma"/>
            <family val="2"/>
          </rPr>
          <t>Informar o custo de manutenção em R$/km rodado
Aplicado preço médio de mercado</t>
        </r>
      </text>
    </comment>
    <comment ref="C93" authorId="1" shapeId="0" xr:uid="{F1833DB4-0399-441D-94B8-35FF01B3F845}">
      <text>
        <r>
          <rPr>
            <sz val="9"/>
            <color indexed="81"/>
            <rFont val="Tahoma"/>
            <family val="2"/>
          </rPr>
          <t>Informar a quantidade de pneus novos de 1 veículo</t>
        </r>
      </text>
    </comment>
    <comment ref="D93" authorId="1" shapeId="0" xr:uid="{82393498-05BD-4AB6-91C8-5F7D4CDE909D}">
      <text>
        <r>
          <rPr>
            <sz val="9"/>
            <color indexed="81"/>
            <rFont val="Tahoma"/>
            <family val="2"/>
          </rPr>
          <t xml:space="preserve">Informar o preço unitário de cada pneu
</t>
        </r>
      </text>
    </comment>
    <comment ref="C94" authorId="1" shapeId="0" xr:uid="{4A691E13-BA65-4EA9-AC22-89D277E30B85}">
      <text>
        <r>
          <rPr>
            <sz val="9"/>
            <color indexed="81"/>
            <rFont val="Tahoma"/>
            <family val="2"/>
          </rPr>
          <t xml:space="preserve">Informar a durabilidade média dos pneus, em km
</t>
        </r>
      </text>
    </comment>
    <comment ref="C106" authorId="1" shapeId="0" xr:uid="{2778FC0C-3B0E-437F-8284-869E9644231C}">
      <text>
        <r>
          <rPr>
            <sz val="9"/>
            <color indexed="81"/>
            <rFont val="Tahoma"/>
            <family val="2"/>
          </rPr>
          <t>Preencher a aba BDI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Elisa</author>
    <author>Clauber Bridi</author>
  </authors>
  <commentList>
    <comment ref="D12" authorId="0" shapeId="0" xr:uid="{7AF5F54E-41AD-4068-962E-9EAD892247D6}">
      <text>
        <r>
          <rPr>
            <b/>
            <sz val="9"/>
            <color indexed="81"/>
            <rFont val="Segoe UI"/>
            <family val="2"/>
          </rPr>
          <t xml:space="preserve">Ref: </t>
        </r>
        <r>
          <rPr>
            <sz val="9"/>
            <color indexed="81"/>
            <rFont val="Segoe UI"/>
            <family val="2"/>
          </rPr>
          <t>piso da categoria do atividade do profissional / Convenção Coletiva FEACC RS</t>
        </r>
      </text>
    </comment>
    <comment ref="C15" authorId="0" shapeId="0" xr:uid="{23388152-CE05-4C93-A63D-E84A2A8E45D5}">
      <text>
        <r>
          <rPr>
            <b/>
            <sz val="9"/>
            <color indexed="81"/>
            <rFont val="Segoe UI"/>
            <family val="2"/>
          </rPr>
          <t xml:space="preserve">REF: </t>
        </r>
        <r>
          <rPr>
            <sz val="9"/>
            <color indexed="81"/>
            <rFont val="Segoe UI"/>
            <family val="2"/>
          </rPr>
          <t>Adicional baseado na convenção da categoria da atividade (Clausula 17 Insalubridade ''a'' da convenção coletiva 2026)</t>
        </r>
      </text>
    </comment>
    <comment ref="C16" authorId="0" shapeId="0" xr:uid="{AC096248-BE41-47D4-ADD6-35DC0D9DE9E7}">
      <text>
        <r>
          <rPr>
            <b/>
            <sz val="9"/>
            <color indexed="81"/>
            <rFont val="Segoe UI"/>
            <family val="2"/>
          </rPr>
          <t xml:space="preserve">REF: </t>
        </r>
        <r>
          <rPr>
            <sz val="9"/>
            <color indexed="81"/>
            <rFont val="Segoe UI"/>
            <family val="2"/>
          </rPr>
          <t>Encargos considerados sob a atividade desenvolvida
Encargos legais - 36%
Provisões - 19%
Outros (FU + afastamentos) - 15%</t>
        </r>
      </text>
    </comment>
    <comment ref="C18" authorId="0" shapeId="0" xr:uid="{5E6A1F38-A4FD-4C95-B62F-9853FA3324FB}">
      <text>
        <r>
          <rPr>
            <b/>
            <sz val="9"/>
            <color indexed="81"/>
            <rFont val="Segoe UI"/>
            <family val="2"/>
          </rPr>
          <t xml:space="preserve">REF: </t>
        </r>
        <r>
          <rPr>
            <sz val="9"/>
            <color indexed="81"/>
            <rFont val="Segoe UI"/>
            <family val="2"/>
          </rPr>
          <t>Tempo de desenvolvimento da atividade conforme histórico do município (comparativo desde ano 2020)
Horas trabalhadas + horas de deslocamentos</t>
        </r>
      </text>
    </comment>
    <comment ref="D23" authorId="0" shapeId="0" xr:uid="{CC91E28E-67EF-479B-89D3-AFE18FAA933F}">
      <text>
        <r>
          <rPr>
            <b/>
            <sz val="9"/>
            <color indexed="81"/>
            <rFont val="Segoe UI"/>
            <family val="2"/>
          </rPr>
          <t xml:space="preserve">Ref: </t>
        </r>
        <r>
          <rPr>
            <sz val="9"/>
            <color indexed="81"/>
            <rFont val="Segoe UI"/>
            <family val="2"/>
          </rPr>
          <t>piso da categoria do atividade do profissional / Convenção Coletiva FEACC RS</t>
        </r>
      </text>
    </comment>
    <comment ref="C24" authorId="0" shapeId="0" xr:uid="{24D207F7-2F98-4A75-8901-95EF26055AEC}">
      <text>
        <r>
          <rPr>
            <b/>
            <sz val="9"/>
            <color indexed="81"/>
            <rFont val="Segoe UI"/>
            <family val="2"/>
          </rPr>
          <t xml:space="preserve">REF: </t>
        </r>
        <r>
          <rPr>
            <sz val="9"/>
            <color indexed="81"/>
            <rFont val="Segoe UI"/>
            <family val="2"/>
          </rPr>
          <t>Encargos considerados sob a atividade desenvolvida
Encargos legais - 36%
Provisões - 19%
Outros (FU + afastamentos) - 15%</t>
        </r>
      </text>
    </comment>
    <comment ref="D30" authorId="0" shapeId="0" xr:uid="{D24B2361-D676-43B6-A1DB-229D8F4D1B1D}">
      <text>
        <r>
          <rPr>
            <b/>
            <sz val="9"/>
            <color indexed="81"/>
            <rFont val="Segoe UI"/>
            <family val="2"/>
          </rPr>
          <t xml:space="preserve">Ref: </t>
        </r>
        <r>
          <rPr>
            <sz val="9"/>
            <color indexed="81"/>
            <rFont val="Segoe UI"/>
            <family val="2"/>
          </rPr>
          <t>base de dados licitacon</t>
        </r>
      </text>
    </comment>
    <comment ref="D35" authorId="0" shapeId="0" xr:uid="{7971BA44-0B74-4DF3-B26A-355ADE5DCE51}">
      <text>
        <r>
          <rPr>
            <b/>
            <sz val="9"/>
            <color indexed="81"/>
            <rFont val="Segoe UI"/>
            <family val="2"/>
          </rPr>
          <t xml:space="preserve">Ref: </t>
        </r>
        <r>
          <rPr>
            <sz val="9"/>
            <color indexed="81"/>
            <rFont val="Segoe UI"/>
            <family val="2"/>
          </rPr>
          <t>valor da hora X horas trabalhadas</t>
        </r>
      </text>
    </comment>
    <comment ref="C44" authorId="0" shapeId="0" xr:uid="{796F10AA-8FD5-40FC-A3CA-CC4114D443E4}">
      <text>
        <r>
          <rPr>
            <b/>
            <sz val="9"/>
            <color indexed="81"/>
            <rFont val="Segoe UI"/>
            <charset val="1"/>
          </rPr>
          <t>REF: tempo de durabilidade dos EPIS</t>
        </r>
      </text>
    </comment>
    <comment ref="D62" authorId="1" shapeId="0" xr:uid="{FAC7C661-18B8-4E2B-92EA-8B9656BB4D01}">
      <text>
        <r>
          <rPr>
            <sz val="9"/>
            <color indexed="81"/>
            <rFont val="Tahoma"/>
            <family val="2"/>
          </rPr>
          <t xml:space="preserve">Informar o preço unitário do veículo utilizado na atividade 
</t>
        </r>
      </text>
    </comment>
    <comment ref="C63" authorId="1" shapeId="0" xr:uid="{8BB49352-C9E2-42CC-A7BF-B02B4C50382C}">
      <text>
        <r>
          <rPr>
            <sz val="9"/>
            <color indexed="81"/>
            <rFont val="Tahoma"/>
            <family val="2"/>
          </rPr>
          <t>Informar a vida útil estimada para o veículo, em anos</t>
        </r>
      </text>
    </comment>
    <comment ref="C64" authorId="1" shapeId="0" xr:uid="{2860B824-DC4C-4EB6-8A17-95DA35247E91}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veículo proposto.</t>
        </r>
      </text>
    </comment>
    <comment ref="C65" authorId="1" shapeId="0" xr:uid="{9B91A27C-0757-4844-A654-AD90222B257E}">
      <text>
        <r>
          <rPr>
            <b/>
            <sz val="9"/>
            <color indexed="81"/>
            <rFont val="Tahoma"/>
            <family val="2"/>
          </rPr>
          <t>Valor residual do veículo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2" authorId="1" shapeId="0" xr:uid="{2F4002AA-9988-4AAF-8AFE-00083A9441D6}">
      <text>
        <r>
          <rPr>
            <sz val="9"/>
            <color indexed="81"/>
            <rFont val="Tahoma"/>
            <family val="2"/>
          </rPr>
          <t xml:space="preserve">Informar o valor do seguro obrigatório e licenciamento anual de um caminhão
</t>
        </r>
      </text>
    </comment>
    <comment ref="D73" authorId="1" shapeId="0" xr:uid="{EFDE5197-F3B4-4739-A705-8E9091404BF4}">
      <text>
        <r>
          <rPr>
            <sz val="9"/>
            <color indexed="81"/>
            <rFont val="Tahoma"/>
            <family val="2"/>
          </rPr>
          <t xml:space="preserve">Informar o valor do seguro contra terceiros de um caminhão, se houver previsão no Projeto Básico
</t>
        </r>
      </text>
    </comment>
    <comment ref="B78" authorId="1" shapeId="0" xr:uid="{9953173F-E618-407A-8A64-3C92FE503666}">
      <text>
        <r>
          <rPr>
            <sz val="9"/>
            <color indexed="81"/>
            <rFont val="Tahoma"/>
            <family val="2"/>
          </rPr>
          <t xml:space="preserve">REF: média mensal estimado com postos de trabalho rurais 
</t>
        </r>
      </text>
    </comment>
    <comment ref="C81" authorId="1" shapeId="0" xr:uid="{3FD71C54-FF2F-43B7-8CBC-A6955F867810}">
      <text>
        <r>
          <rPr>
            <sz val="9"/>
            <color indexed="81"/>
            <rFont val="Tahoma"/>
            <family val="2"/>
          </rPr>
          <t>Informar o consumo estimado do veículo em km/l</t>
        </r>
      </text>
    </comment>
    <comment ref="D81" authorId="1" shapeId="0" xr:uid="{48E55286-4A94-44DC-9E32-CB6BB2CB6FD5}">
      <text>
        <r>
          <rPr>
            <sz val="9"/>
            <color indexed="81"/>
            <rFont val="Tahoma"/>
            <family val="2"/>
          </rPr>
          <t>Informar o preço unitário do combustivel</t>
        </r>
      </text>
    </comment>
    <comment ref="C83" authorId="1" shapeId="0" xr:uid="{9DBF2FD3-4F95-4F7B-8F0E-B79EDED7A4A9}">
      <text>
        <r>
          <rPr>
            <sz val="9"/>
            <color indexed="81"/>
            <rFont val="Tahoma"/>
            <family val="2"/>
          </rPr>
          <t>Informar o consumo de graxa a cada 1000km</t>
        </r>
      </text>
    </comment>
    <comment ref="D83" authorId="1" shapeId="0" xr:uid="{1A1CDE5A-F79A-48BE-8BBC-8A2834FC0DEE}">
      <text>
        <r>
          <rPr>
            <sz val="9"/>
            <color indexed="81"/>
            <rFont val="Tahoma"/>
            <family val="2"/>
          </rPr>
          <t xml:space="preserve">Informar o preço unitário do serviço de troca de óleo
</t>
        </r>
      </text>
    </comment>
    <comment ref="D89" authorId="1" shapeId="0" xr:uid="{7F2B9121-844C-4202-8ABC-E88B18028787}">
      <text>
        <r>
          <rPr>
            <sz val="9"/>
            <color indexed="81"/>
            <rFont val="Tahoma"/>
            <family val="2"/>
          </rPr>
          <t>Informar o custo de manutenção em R$/km rodado
Aplicado preço médio de mercado</t>
        </r>
      </text>
    </comment>
    <comment ref="C93" authorId="1" shapeId="0" xr:uid="{E506253E-EA60-4CC0-83CD-62F8E97420B4}">
      <text>
        <r>
          <rPr>
            <sz val="9"/>
            <color indexed="81"/>
            <rFont val="Tahoma"/>
            <family val="2"/>
          </rPr>
          <t>Informar a quantidade de pneus novos de 1 veículo</t>
        </r>
      </text>
    </comment>
    <comment ref="D93" authorId="1" shapeId="0" xr:uid="{C464A671-1FD3-4274-9C8A-D26A398A2457}">
      <text>
        <r>
          <rPr>
            <sz val="9"/>
            <color indexed="81"/>
            <rFont val="Tahoma"/>
            <family val="2"/>
          </rPr>
          <t xml:space="preserve">Informar o preço unitário de cada pneu
</t>
        </r>
      </text>
    </comment>
    <comment ref="C94" authorId="1" shapeId="0" xr:uid="{E2AB630B-814C-4203-AD0A-D9BD908024EA}">
      <text>
        <r>
          <rPr>
            <sz val="9"/>
            <color indexed="81"/>
            <rFont val="Tahoma"/>
            <family val="2"/>
          </rPr>
          <t xml:space="preserve">Informar a durabilidade média dos pneus, em km
</t>
        </r>
      </text>
    </comment>
    <comment ref="C106" authorId="1" shapeId="0" xr:uid="{68B5D05D-5F11-4260-A50F-E0EFFEB6FEA5}">
      <text>
        <r>
          <rPr>
            <sz val="9"/>
            <color indexed="81"/>
            <rFont val="Tahoma"/>
            <family val="2"/>
          </rPr>
          <t>Preencher a aba BDI</t>
        </r>
      </text>
    </comment>
  </commentList>
</comments>
</file>

<file path=xl/sharedStrings.xml><?xml version="1.0" encoding="utf-8"?>
<sst xmlns="http://schemas.openxmlformats.org/spreadsheetml/2006/main" count="427" uniqueCount="136">
  <si>
    <t>Descrição</t>
  </si>
  <si>
    <t>Lucro</t>
  </si>
  <si>
    <t>Item</t>
  </si>
  <si>
    <t>Postos</t>
  </si>
  <si>
    <t>ITEM</t>
  </si>
  <si>
    <t>VALOR (R$)</t>
  </si>
  <si>
    <t xml:space="preserve">CUSTO TOTAL MENSAL </t>
  </si>
  <si>
    <t>Valor (R$)</t>
  </si>
  <si>
    <t xml:space="preserve">TOTAL GLOBAL: </t>
  </si>
  <si>
    <t>Valor por escrito</t>
  </si>
  <si>
    <t>Dados de Referência</t>
  </si>
  <si>
    <t>Quantidade</t>
  </si>
  <si>
    <t>Unidade</t>
  </si>
  <si>
    <t>Veículos para operação</t>
  </si>
  <si>
    <t>veículo</t>
  </si>
  <si>
    <t>%</t>
  </si>
  <si>
    <t>Km percorrida mensal</t>
  </si>
  <si>
    <t>km</t>
  </si>
  <si>
    <t xml:space="preserve">CUSTOS DA OPERAÇÃO </t>
  </si>
  <si>
    <t>1 Mão de Obra</t>
  </si>
  <si>
    <t>Valor unitário</t>
  </si>
  <si>
    <t>Sub total</t>
  </si>
  <si>
    <t>Total</t>
  </si>
  <si>
    <t xml:space="preserve">Piso da categoria </t>
  </si>
  <si>
    <t>mês</t>
  </si>
  <si>
    <t>Adicional de Insalubridade</t>
  </si>
  <si>
    <t>Encargos Sociais</t>
  </si>
  <si>
    <t>Total por efetivo</t>
  </si>
  <si>
    <t>-</t>
  </si>
  <si>
    <t xml:space="preserve"> </t>
  </si>
  <si>
    <t>CUSTO MENSAL COM MÃO DE OBRA</t>
  </si>
  <si>
    <t xml:space="preserve">1.5 - Equipamentos de Proteção Individual </t>
  </si>
  <si>
    <t>Calça</t>
  </si>
  <si>
    <t>1/12</t>
  </si>
  <si>
    <t>Camiseta</t>
  </si>
  <si>
    <t>Botina de Segurança</t>
  </si>
  <si>
    <t/>
  </si>
  <si>
    <t xml:space="preserve">Avental impermeavel </t>
  </si>
  <si>
    <t>Soma do custo total com equipamento de proteção individual</t>
  </si>
  <si>
    <t>Total Efetivo</t>
  </si>
  <si>
    <t>homem</t>
  </si>
  <si>
    <t xml:space="preserve">Custo com equipamentos de proteção individual </t>
  </si>
  <si>
    <t xml:space="preserve">CUSTO MENSAL COM EQUIPAMENTOS DE PROTEÇÃO INDIVIDUAL </t>
  </si>
  <si>
    <t xml:space="preserve">CUSTO COMPLETO MENSAL COM MÃO DE OBRA  </t>
  </si>
  <si>
    <t xml:space="preserve">2 CUSTO COM VEÍCULO </t>
  </si>
  <si>
    <t>2.1. Aquisição do veículo</t>
  </si>
  <si>
    <t>Custo de aquisição do veiculo</t>
  </si>
  <si>
    <t>veiculo</t>
  </si>
  <si>
    <t>Vida útil</t>
  </si>
  <si>
    <t>anos</t>
  </si>
  <si>
    <t>Idade do veículo</t>
  </si>
  <si>
    <t>Valor residual</t>
  </si>
  <si>
    <t>Vida util em meses</t>
  </si>
  <si>
    <t>meses</t>
  </si>
  <si>
    <t xml:space="preserve">Depreciação mensal veículo </t>
  </si>
  <si>
    <t>2.2 Impostos e Seguros</t>
  </si>
  <si>
    <t>IPVA</t>
  </si>
  <si>
    <t>Licenciamento</t>
  </si>
  <si>
    <t>Seguro contra terceiros</t>
  </si>
  <si>
    <t>Soma do custo com impostos  e seguros</t>
  </si>
  <si>
    <t>unidade</t>
  </si>
  <si>
    <t>2.3. Consumos</t>
  </si>
  <si>
    <t>Quilometragem mensal</t>
  </si>
  <si>
    <t>Discriminação</t>
  </si>
  <si>
    <t>Consumo</t>
  </si>
  <si>
    <t>Custo unitário</t>
  </si>
  <si>
    <t>Subtotal</t>
  </si>
  <si>
    <r>
      <t xml:space="preserve">Total </t>
    </r>
    <r>
      <rPr>
        <b/>
        <u/>
        <sz val="12"/>
        <rFont val="Calibri"/>
        <family val="2"/>
        <scheme val="minor"/>
      </rPr>
      <t>(R$)</t>
    </r>
  </si>
  <si>
    <t>Custo de gasolina / km rodado</t>
  </si>
  <si>
    <t>km/l</t>
  </si>
  <si>
    <t>Custo mensal com gasolina</t>
  </si>
  <si>
    <t>Custo com troca de óleo</t>
  </si>
  <si>
    <t>km/10.000 km</t>
  </si>
  <si>
    <t>Custo mensal com óleo</t>
  </si>
  <si>
    <t>Custo com consumos/km rodado</t>
  </si>
  <si>
    <t>R$/km rodado</t>
  </si>
  <si>
    <t>2.4. Manutenção</t>
  </si>
  <si>
    <t>Custo de manutenção do veículo</t>
  </si>
  <si>
    <t>2.5. Pneus</t>
  </si>
  <si>
    <t xml:space="preserve">Custo do jogo de pneus  </t>
  </si>
  <si>
    <t>Vida util média</t>
  </si>
  <si>
    <t>Custo mensal com pneus</t>
  </si>
  <si>
    <t>CUSTO MENSAL COM VEÍCULO</t>
  </si>
  <si>
    <t xml:space="preserve">CUSTO TOTAL COM DESPESAS OPERACIONAIS </t>
  </si>
  <si>
    <t>5 BDI (Benefícios e Despesas Indiretas)</t>
  </si>
  <si>
    <t>Benefícios e despesas indiretas</t>
  </si>
  <si>
    <t>CUSTO TOTAL  DE OPERAÇÃO</t>
  </si>
  <si>
    <t>Posto de trabalho</t>
  </si>
  <si>
    <t>Postos de trabalho</t>
  </si>
  <si>
    <t>Porcentagem</t>
  </si>
  <si>
    <t>1.2 Vale alimentação</t>
  </si>
  <si>
    <t>Custo vale alimentação</t>
  </si>
  <si>
    <t>Dia</t>
  </si>
  <si>
    <t>Operador</t>
  </si>
  <si>
    <t xml:space="preserve">1.3. Auxilio lanche </t>
  </si>
  <si>
    <t xml:space="preserve">Custo auxilio lanche </t>
  </si>
  <si>
    <t>1.1. Postos de trabalho (serviços gerais)</t>
  </si>
  <si>
    <t>1.1.1 Supervisor operacional</t>
  </si>
  <si>
    <t>Luvas nitrílicas ou de borracha</t>
  </si>
  <si>
    <t xml:space="preserve">Mascara facial </t>
  </si>
  <si>
    <t xml:space="preserve">Óculos de segurança  </t>
  </si>
  <si>
    <t>BDI = BENEFÍCIOS E DESPESAS INDIRETAS</t>
  </si>
  <si>
    <t>Mínimo</t>
  </si>
  <si>
    <t>Máximo</t>
  </si>
  <si>
    <t>Adotado</t>
  </si>
  <si>
    <t>AC</t>
  </si>
  <si>
    <t>Administração Central</t>
  </si>
  <si>
    <t>DF</t>
  </si>
  <si>
    <t>Despesas Financeiras</t>
  </si>
  <si>
    <t>R</t>
  </si>
  <si>
    <t>Risco</t>
  </si>
  <si>
    <t>Garantia</t>
  </si>
  <si>
    <t>L</t>
  </si>
  <si>
    <t>I</t>
  </si>
  <si>
    <t>ISSQN</t>
  </si>
  <si>
    <t>COFINS</t>
  </si>
  <si>
    <t>PIS</t>
  </si>
  <si>
    <t>IRPJ</t>
  </si>
  <si>
    <t>TOTAL BDI</t>
  </si>
  <si>
    <t>FU Atividade</t>
  </si>
  <si>
    <t>FU Atividades (atividade limpeza geral + braçal)</t>
  </si>
  <si>
    <t xml:space="preserve">CUSTO MENSAL COM VEÍCULO + FU ATIVIDADE </t>
  </si>
  <si>
    <t>Objeto: Prestação de serviço de limpeza em geral</t>
  </si>
  <si>
    <t xml:space="preserve">CUSTO TOTAL POR POSTO DE TRABALHO </t>
  </si>
  <si>
    <t>VALOR TOTAL GLOBAL DA PREVISÃO (12 meses)</t>
  </si>
  <si>
    <t>POSTOS DE TRABALHO POR ATIVIDADE</t>
  </si>
  <si>
    <t xml:space="preserve">1. Custo total mensal de Operação de Limpeza Geral </t>
  </si>
  <si>
    <t>2. Custo total mensal de Operação de Limpeza Braçal</t>
  </si>
  <si>
    <t>postos</t>
  </si>
  <si>
    <t>Objeto: Prestação de serviços de atividades braçais gerais</t>
  </si>
  <si>
    <t>Orçamento para serviços de limpeza geral no município de Joia - RS</t>
  </si>
  <si>
    <t xml:space="preserve">Honorários </t>
  </si>
  <si>
    <t>hora/semana</t>
  </si>
  <si>
    <t>Salário mínimo</t>
  </si>
  <si>
    <t xml:space="preserve">Cento e sessenta e sete mil e seissentos e onze reais com dezessete centavos </t>
  </si>
  <si>
    <t>Quatro mil cento e noventa reais com vinte e oito centavos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</si>
</sst>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%"/>
    <numFmt numFmtId="165" formatCode="_(* #,##0.000_);_(* \(#,##0.000\);_(* &quot;-&quot;??_);_(@_)"/>
    <numFmt numFmtId="166" formatCode="_-&quot;R$&quot;\ * #,##0.000_-;\-&quot;R$&quot;\ * #,##0.000_-;_-&quot;R$&quot;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indexed="81"/>
      <name val="Tahoma"/>
      <family val="2"/>
    </font>
    <font>
      <b/>
      <sz val="9"/>
      <color indexed="81"/>
      <name val="Segoe UI"/>
      <charset val="1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8">
    <xf numFmtId="0" fontId="0" fillId="0" borderId="0" xfId="0"/>
    <xf numFmtId="0" fontId="3" fillId="0" borderId="9" xfId="0" applyFont="1" applyBorder="1"/>
    <xf numFmtId="0" fontId="0" fillId="0" borderId="7" xfId="0" applyBorder="1"/>
    <xf numFmtId="0" fontId="0" fillId="0" borderId="8" xfId="0" applyBorder="1"/>
    <xf numFmtId="44" fontId="0" fillId="3" borderId="9" xfId="0" applyNumberFormat="1" applyFill="1" applyBorder="1"/>
    <xf numFmtId="44" fontId="0" fillId="0" borderId="0" xfId="0" applyNumberFormat="1"/>
    <xf numFmtId="0" fontId="0" fillId="0" borderId="10" xfId="0" applyBorder="1"/>
    <xf numFmtId="0" fontId="0" fillId="0" borderId="11" xfId="0" applyBorder="1"/>
    <xf numFmtId="44" fontId="0" fillId="0" borderId="11" xfId="0" applyNumberFormat="1" applyBorder="1"/>
    <xf numFmtId="44" fontId="2" fillId="3" borderId="8" xfId="0" applyNumberFormat="1" applyFont="1" applyFill="1" applyBorder="1"/>
    <xf numFmtId="44" fontId="2" fillId="3" borderId="9" xfId="0" applyNumberFormat="1" applyFont="1" applyFill="1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2" borderId="7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/>
    <xf numFmtId="0" fontId="0" fillId="0" borderId="7" xfId="0" applyBorder="1" applyAlignment="1">
      <alignment horizontal="center" vertical="center"/>
    </xf>
    <xf numFmtId="44" fontId="0" fillId="0" borderId="9" xfId="0" applyNumberFormat="1" applyBorder="1" applyAlignment="1">
      <alignment vertical="center"/>
    </xf>
    <xf numFmtId="0" fontId="0" fillId="0" borderId="16" xfId="0" applyBorder="1" applyAlignment="1">
      <alignment horizontal="center" vertical="center"/>
    </xf>
    <xf numFmtId="44" fontId="0" fillId="0" borderId="19" xfId="0" applyNumberFormat="1" applyBorder="1" applyAlignment="1">
      <alignment vertical="center"/>
    </xf>
    <xf numFmtId="0" fontId="2" fillId="3" borderId="20" xfId="0" applyFont="1" applyFill="1" applyBorder="1" applyAlignment="1">
      <alignment horizontal="center" vertical="center"/>
    </xf>
    <xf numFmtId="44" fontId="3" fillId="3" borderId="22" xfId="0" applyNumberFormat="1" applyFont="1" applyFill="1" applyBorder="1" applyAlignment="1">
      <alignment horizontal="center" vertical="center"/>
    </xf>
    <xf numFmtId="0" fontId="5" fillId="0" borderId="11" xfId="0" applyFont="1" applyBorder="1"/>
    <xf numFmtId="0" fontId="2" fillId="0" borderId="8" xfId="0" applyFont="1" applyBorder="1" applyAlignment="1">
      <alignment horizontal="center" vertical="center" wrapText="1"/>
    </xf>
    <xf numFmtId="44" fontId="3" fillId="4" borderId="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5" fillId="0" borderId="0" xfId="0" applyFont="1"/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9" fontId="5" fillId="0" borderId="8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2" borderId="28" xfId="0" applyFont="1" applyFill="1" applyBorder="1" applyAlignment="1">
      <alignment horizontal="center"/>
    </xf>
    <xf numFmtId="0" fontId="5" fillId="0" borderId="29" xfId="0" applyFont="1" applyBorder="1"/>
    <xf numFmtId="0" fontId="5" fillId="0" borderId="29" xfId="0" applyFont="1" applyBorder="1" applyAlignment="1">
      <alignment horizontal="center"/>
    </xf>
    <xf numFmtId="44" fontId="5" fillId="3" borderId="0" xfId="2" applyFont="1" applyFill="1" applyAlignment="1">
      <alignment horizontal="center"/>
    </xf>
    <xf numFmtId="44" fontId="5" fillId="0" borderId="29" xfId="2" applyFont="1" applyBorder="1" applyAlignment="1">
      <alignment horizontal="center"/>
    </xf>
    <xf numFmtId="9" fontId="5" fillId="0" borderId="8" xfId="3" applyFont="1" applyBorder="1" applyAlignment="1">
      <alignment horizontal="center"/>
    </xf>
    <xf numFmtId="44" fontId="5" fillId="0" borderId="8" xfId="0" applyNumberFormat="1" applyFont="1" applyBorder="1" applyAlignment="1">
      <alignment horizontal="center"/>
    </xf>
    <xf numFmtId="0" fontId="7" fillId="0" borderId="8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/>
    </xf>
    <xf numFmtId="44" fontId="5" fillId="0" borderId="8" xfId="2" applyFont="1" applyBorder="1" applyAlignment="1">
      <alignment horizontal="center"/>
    </xf>
    <xf numFmtId="44" fontId="3" fillId="0" borderId="8" xfId="2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44" fontId="3" fillId="2" borderId="27" xfId="2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0" fontId="3" fillId="2" borderId="30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44" fontId="5" fillId="3" borderId="8" xfId="2" applyFont="1" applyFill="1" applyBorder="1" applyAlignment="1">
      <alignment horizontal="center"/>
    </xf>
    <xf numFmtId="44" fontId="3" fillId="2" borderId="33" xfId="2" applyFont="1" applyFill="1" applyBorder="1" applyAlignment="1">
      <alignment horizontal="center"/>
    </xf>
    <xf numFmtId="0" fontId="5" fillId="0" borderId="34" xfId="0" applyFont="1" applyBorder="1"/>
    <xf numFmtId="44" fontId="3" fillId="2" borderId="33" xfId="2" applyFont="1" applyFill="1" applyBorder="1"/>
    <xf numFmtId="44" fontId="3" fillId="0" borderId="0" xfId="2" applyFont="1" applyBorder="1" applyAlignment="1">
      <alignment horizontal="center"/>
    </xf>
    <xf numFmtId="44" fontId="3" fillId="2" borderId="33" xfId="0" applyNumberFormat="1" applyFont="1" applyFill="1" applyBorder="1"/>
    <xf numFmtId="0" fontId="5" fillId="4" borderId="8" xfId="0" applyFont="1" applyFill="1" applyBorder="1"/>
    <xf numFmtId="0" fontId="5" fillId="4" borderId="8" xfId="0" applyFont="1" applyFill="1" applyBorder="1" applyAlignment="1">
      <alignment horizontal="center"/>
    </xf>
    <xf numFmtId="12" fontId="5" fillId="4" borderId="8" xfId="0" applyNumberFormat="1" applyFont="1" applyFill="1" applyBorder="1" applyAlignment="1">
      <alignment horizontal="center"/>
    </xf>
    <xf numFmtId="44" fontId="5" fillId="4" borderId="8" xfId="2" applyFont="1" applyFill="1" applyBorder="1" applyAlignment="1">
      <alignment horizontal="center"/>
    </xf>
    <xf numFmtId="44" fontId="5" fillId="4" borderId="8" xfId="2" applyFont="1" applyFill="1" applyBorder="1"/>
    <xf numFmtId="49" fontId="5" fillId="4" borderId="8" xfId="0" applyNumberFormat="1" applyFont="1" applyFill="1" applyBorder="1" applyAlignment="1">
      <alignment horizontal="center"/>
    </xf>
    <xf numFmtId="0" fontId="5" fillId="0" borderId="0" xfId="0" quotePrefix="1" applyFont="1"/>
    <xf numFmtId="44" fontId="3" fillId="4" borderId="8" xfId="0" applyNumberFormat="1" applyFont="1" applyFill="1" applyBorder="1"/>
    <xf numFmtId="44" fontId="5" fillId="4" borderId="8" xfId="0" applyNumberFormat="1" applyFont="1" applyFill="1" applyBorder="1" applyAlignment="1">
      <alignment horizontal="center"/>
    </xf>
    <xf numFmtId="44" fontId="5" fillId="4" borderId="29" xfId="0" applyNumberFormat="1" applyFont="1" applyFill="1" applyBorder="1" applyAlignment="1">
      <alignment horizontal="center"/>
    </xf>
    <xf numFmtId="44" fontId="3" fillId="2" borderId="27" xfId="0" applyNumberFormat="1" applyFont="1" applyFill="1" applyBorder="1" applyAlignment="1">
      <alignment horizontal="center"/>
    </xf>
    <xf numFmtId="44" fontId="3" fillId="2" borderId="8" xfId="0" applyNumberFormat="1" applyFont="1" applyFill="1" applyBorder="1" applyAlignment="1">
      <alignment horizontal="center"/>
    </xf>
    <xf numFmtId="44" fontId="3" fillId="2" borderId="0" xfId="2" applyFont="1" applyFill="1"/>
    <xf numFmtId="0" fontId="5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7" fillId="4" borderId="8" xfId="0" applyFont="1" applyFill="1" applyBorder="1" applyAlignment="1">
      <alignment vertical="center"/>
    </xf>
    <xf numFmtId="0" fontId="7" fillId="4" borderId="8" xfId="0" applyFont="1" applyFill="1" applyBorder="1" applyAlignment="1">
      <alignment horizontal="center" vertical="center"/>
    </xf>
    <xf numFmtId="43" fontId="7" fillId="3" borderId="8" xfId="1" applyFont="1" applyFill="1" applyBorder="1" applyAlignment="1">
      <alignment horizontal="center" vertical="center"/>
    </xf>
    <xf numFmtId="43" fontId="7" fillId="4" borderId="8" xfId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9" fontId="7" fillId="4" borderId="8" xfId="3" applyFont="1" applyFill="1" applyBorder="1" applyAlignment="1">
      <alignment horizontal="center" vertical="center"/>
    </xf>
    <xf numFmtId="44" fontId="7" fillId="4" borderId="8" xfId="2" applyFont="1" applyFill="1" applyBorder="1" applyAlignment="1">
      <alignment horizontal="center" vertical="center"/>
    </xf>
    <xf numFmtId="1" fontId="7" fillId="4" borderId="8" xfId="3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>
      <alignment vertical="center"/>
    </xf>
    <xf numFmtId="0" fontId="8" fillId="4" borderId="8" xfId="0" applyFont="1" applyFill="1" applyBorder="1" applyAlignment="1">
      <alignment horizontal="center" vertical="center"/>
    </xf>
    <xf numFmtId="44" fontId="8" fillId="4" borderId="8" xfId="2" applyFont="1" applyFill="1" applyBorder="1" applyAlignment="1">
      <alignment horizontal="center" vertical="center"/>
    </xf>
    <xf numFmtId="44" fontId="3" fillId="2" borderId="33" xfId="0" applyNumberFormat="1" applyFont="1" applyFill="1" applyBorder="1" applyAlignment="1">
      <alignment horizontal="center"/>
    </xf>
    <xf numFmtId="0" fontId="7" fillId="0" borderId="0" xfId="0" applyFont="1" applyAlignment="1">
      <alignment vertical="center"/>
    </xf>
    <xf numFmtId="43" fontId="7" fillId="0" borderId="0" xfId="1" applyFont="1" applyAlignment="1">
      <alignment vertical="center"/>
    </xf>
    <xf numFmtId="0" fontId="7" fillId="4" borderId="29" xfId="0" applyFont="1" applyFill="1" applyBorder="1" applyAlignment="1">
      <alignment vertical="center"/>
    </xf>
    <xf numFmtId="0" fontId="7" fillId="4" borderId="29" xfId="0" applyFont="1" applyFill="1" applyBorder="1" applyAlignment="1">
      <alignment horizontal="center" vertical="center"/>
    </xf>
    <xf numFmtId="164" fontId="7" fillId="4" borderId="29" xfId="3" applyNumberFormat="1" applyFont="1" applyFill="1" applyBorder="1" applyAlignment="1">
      <alignment horizontal="center" vertical="center"/>
    </xf>
    <xf numFmtId="44" fontId="7" fillId="3" borderId="29" xfId="2" applyFont="1" applyFill="1" applyBorder="1" applyAlignment="1">
      <alignment horizontal="center" vertical="center"/>
    </xf>
    <xf numFmtId="44" fontId="7" fillId="4" borderId="29" xfId="2" applyFont="1" applyFill="1" applyBorder="1" applyAlignment="1">
      <alignment horizontal="center" vertical="center"/>
    </xf>
    <xf numFmtId="43" fontId="7" fillId="4" borderId="0" xfId="1" applyFont="1" applyFill="1" applyAlignment="1">
      <alignment vertical="center"/>
    </xf>
    <xf numFmtId="1" fontId="7" fillId="4" borderId="29" xfId="1" applyNumberFormat="1" applyFont="1" applyFill="1" applyBorder="1" applyAlignment="1">
      <alignment horizontal="center" vertical="center"/>
    </xf>
    <xf numFmtId="44" fontId="7" fillId="3" borderId="8" xfId="2" applyFont="1" applyFill="1" applyBorder="1" applyAlignment="1">
      <alignment horizontal="center" vertical="center"/>
    </xf>
    <xf numFmtId="43" fontId="8" fillId="4" borderId="0" xfId="1" applyFont="1" applyFill="1" applyBorder="1" applyAlignment="1">
      <alignment horizontal="center" vertical="center"/>
    </xf>
    <xf numFmtId="0" fontId="7" fillId="4" borderId="0" xfId="0" applyFont="1" applyFill="1" applyAlignment="1">
      <alignment vertical="center"/>
    </xf>
    <xf numFmtId="44" fontId="8" fillId="2" borderId="33" xfId="2" applyFont="1" applyFill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8" fillId="0" borderId="8" xfId="0" applyFont="1" applyBorder="1" applyAlignment="1">
      <alignment vertical="center"/>
    </xf>
    <xf numFmtId="4" fontId="3" fillId="3" borderId="8" xfId="0" applyNumberFormat="1" applyFont="1" applyFill="1" applyBorder="1"/>
    <xf numFmtId="0" fontId="8" fillId="2" borderId="2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43" fontId="8" fillId="2" borderId="24" xfId="1" applyFont="1" applyFill="1" applyBorder="1" applyAlignment="1">
      <alignment horizontal="center" vertical="center"/>
    </xf>
    <xf numFmtId="43" fontId="8" fillId="2" borderId="28" xfId="1" applyFont="1" applyFill="1" applyBorder="1" applyAlignment="1">
      <alignment horizontal="center" vertical="center"/>
    </xf>
    <xf numFmtId="0" fontId="7" fillId="0" borderId="29" xfId="0" applyFont="1" applyBorder="1" applyAlignment="1">
      <alignment vertical="center"/>
    </xf>
    <xf numFmtId="0" fontId="7" fillId="0" borderId="29" xfId="0" applyFont="1" applyBorder="1" applyAlignment="1">
      <alignment horizontal="center" vertical="center"/>
    </xf>
    <xf numFmtId="43" fontId="7" fillId="0" borderId="29" xfId="1" applyFont="1" applyBorder="1" applyAlignment="1">
      <alignment horizontal="center" vertical="center"/>
    </xf>
    <xf numFmtId="1" fontId="7" fillId="0" borderId="8" xfId="1" applyNumberFormat="1" applyFont="1" applyBorder="1" applyAlignment="1">
      <alignment horizontal="center" vertical="center"/>
    </xf>
    <xf numFmtId="165" fontId="7" fillId="0" borderId="29" xfId="1" applyNumberFormat="1" applyFont="1" applyBorder="1" applyAlignment="1">
      <alignment horizontal="center" vertical="center"/>
    </xf>
    <xf numFmtId="43" fontId="7" fillId="0" borderId="8" xfId="1" applyFont="1" applyBorder="1" applyAlignment="1">
      <alignment horizontal="center" vertical="center"/>
    </xf>
    <xf numFmtId="1" fontId="7" fillId="4" borderId="8" xfId="2" applyNumberFormat="1" applyFont="1" applyFill="1" applyBorder="1" applyAlignment="1">
      <alignment horizontal="center" vertical="center"/>
    </xf>
    <xf numFmtId="165" fontId="7" fillId="0" borderId="8" xfId="1" applyNumberFormat="1" applyFont="1" applyBorder="1" applyAlignment="1">
      <alignment horizontal="center" vertical="center"/>
    </xf>
    <xf numFmtId="44" fontId="7" fillId="0" borderId="8" xfId="2" applyFont="1" applyBorder="1" applyAlignment="1">
      <alignment horizontal="center" vertical="center"/>
    </xf>
    <xf numFmtId="166" fontId="8" fillId="0" borderId="8" xfId="2" applyNumberFormat="1" applyFont="1" applyBorder="1" applyAlignment="1">
      <alignment horizontal="center" vertical="center"/>
    </xf>
    <xf numFmtId="43" fontId="8" fillId="0" borderId="8" xfId="1" applyFont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44" fontId="7" fillId="0" borderId="29" xfId="2" applyFont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3" fontId="7" fillId="3" borderId="8" xfId="0" applyNumberFormat="1" applyFont="1" applyFill="1" applyBorder="1" applyAlignment="1">
      <alignment horizontal="center" vertical="center"/>
    </xf>
    <xf numFmtId="44" fontId="8" fillId="2" borderId="27" xfId="2" applyFont="1" applyFill="1" applyBorder="1" applyAlignment="1">
      <alignment horizontal="center" vertical="center"/>
    </xf>
    <xf numFmtId="43" fontId="7" fillId="0" borderId="0" xfId="1" applyFont="1" applyAlignment="1">
      <alignment horizontal="right" vertical="center"/>
    </xf>
    <xf numFmtId="44" fontId="5" fillId="0" borderId="0" xfId="0" applyNumberFormat="1" applyFont="1"/>
    <xf numFmtId="44" fontId="3" fillId="2" borderId="0" xfId="0" applyNumberFormat="1" applyFont="1" applyFill="1" applyAlignment="1">
      <alignment horizontal="center"/>
    </xf>
    <xf numFmtId="10" fontId="7" fillId="6" borderId="8" xfId="1" applyNumberFormat="1" applyFont="1" applyFill="1" applyBorder="1" applyAlignment="1">
      <alignment horizontal="center" vertical="center"/>
    </xf>
    <xf numFmtId="44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9" fontId="0" fillId="0" borderId="8" xfId="0" applyNumberFormat="1" applyBorder="1" applyAlignment="1">
      <alignment horizontal="center"/>
    </xf>
    <xf numFmtId="0" fontId="5" fillId="8" borderId="15" xfId="0" applyFont="1" applyFill="1" applyBorder="1" applyAlignment="1">
      <alignment horizontal="center"/>
    </xf>
    <xf numFmtId="0" fontId="5" fillId="0" borderId="13" xfId="0" applyFont="1" applyBorder="1"/>
    <xf numFmtId="9" fontId="5" fillId="8" borderId="35" xfId="0" applyNumberFormat="1" applyFont="1" applyFill="1" applyBorder="1" applyAlignment="1">
      <alignment horizontal="center"/>
    </xf>
    <xf numFmtId="44" fontId="5" fillId="0" borderId="34" xfId="2" applyFont="1" applyBorder="1" applyAlignment="1">
      <alignment horizontal="center"/>
    </xf>
    <xf numFmtId="0" fontId="3" fillId="0" borderId="0" xfId="0" applyFont="1"/>
    <xf numFmtId="0" fontId="2" fillId="0" borderId="29" xfId="0" applyFont="1" applyBorder="1"/>
    <xf numFmtId="0" fontId="2" fillId="0" borderId="36" xfId="0" applyFont="1" applyBorder="1"/>
    <xf numFmtId="9" fontId="0" fillId="9" borderId="8" xfId="0" applyNumberFormat="1" applyFill="1" applyBorder="1" applyAlignment="1">
      <alignment horizontal="center"/>
    </xf>
    <xf numFmtId="10" fontId="0" fillId="0" borderId="9" xfId="0" applyNumberFormat="1" applyBorder="1" applyAlignment="1">
      <alignment horizontal="center"/>
    </xf>
    <xf numFmtId="9" fontId="0" fillId="0" borderId="9" xfId="0" applyNumberFormat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9" fontId="0" fillId="3" borderId="9" xfId="0" applyNumberFormat="1" applyFill="1" applyBorder="1" applyAlignment="1">
      <alignment horizontal="center"/>
    </xf>
    <xf numFmtId="10" fontId="0" fillId="0" borderId="8" xfId="0" applyNumberFormat="1" applyBorder="1" applyAlignment="1">
      <alignment horizontal="center"/>
    </xf>
    <xf numFmtId="10" fontId="0" fillId="3" borderId="9" xfId="0" applyNumberFormat="1" applyFill="1" applyBorder="1" applyAlignment="1">
      <alignment horizontal="center"/>
    </xf>
    <xf numFmtId="0" fontId="0" fillId="0" borderId="34" xfId="0" applyBorder="1"/>
    <xf numFmtId="164" fontId="0" fillId="0" borderId="34" xfId="0" applyNumberFormat="1" applyBorder="1" applyAlignment="1">
      <alignment horizontal="center"/>
    </xf>
    <xf numFmtId="164" fontId="0" fillId="3" borderId="11" xfId="0" applyNumberFormat="1" applyFill="1" applyBorder="1" applyAlignment="1">
      <alignment horizontal="center"/>
    </xf>
    <xf numFmtId="10" fontId="2" fillId="7" borderId="21" xfId="0" applyNumberFormat="1" applyFont="1" applyFill="1" applyBorder="1" applyAlignment="1">
      <alignment horizontal="center"/>
    </xf>
    <xf numFmtId="0" fontId="5" fillId="0" borderId="37" xfId="0" applyFont="1" applyBorder="1"/>
    <xf numFmtId="1" fontId="5" fillId="0" borderId="37" xfId="0" applyNumberFormat="1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9" fontId="5" fillId="3" borderId="8" xfId="3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4" fillId="3" borderId="21" xfId="0" applyFont="1" applyFill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8" xfId="0" applyFont="1" applyFill="1" applyBorder="1" applyAlignment="1">
      <alignment horizontal="left"/>
    </xf>
    <xf numFmtId="0" fontId="16" fillId="0" borderId="8" xfId="0" applyFont="1" applyBorder="1" applyAlignment="1">
      <alignment horizontal="left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8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0" xfId="0" applyBorder="1"/>
    <xf numFmtId="0" fontId="0" fillId="0" borderId="0" xfId="0"/>
    <xf numFmtId="0" fontId="2" fillId="4" borderId="7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  <xf numFmtId="0" fontId="0" fillId="0" borderId="7" xfId="0" applyBorder="1"/>
    <xf numFmtId="0" fontId="0" fillId="0" borderId="8" xfId="0" applyBorder="1"/>
    <xf numFmtId="0" fontId="8" fillId="2" borderId="0" xfId="0" applyFont="1" applyFill="1" applyAlignment="1">
      <alignment horizontal="center" vertical="center"/>
    </xf>
    <xf numFmtId="0" fontId="3" fillId="5" borderId="25" xfId="0" applyFont="1" applyFill="1" applyBorder="1" applyAlignment="1">
      <alignment horizontal="left"/>
    </xf>
    <xf numFmtId="0" fontId="3" fillId="5" borderId="26" xfId="0" applyFont="1" applyFill="1" applyBorder="1" applyAlignment="1">
      <alignment horizontal="left"/>
    </xf>
    <xf numFmtId="0" fontId="3" fillId="5" borderId="27" xfId="0" applyFont="1" applyFill="1" applyBorder="1" applyAlignment="1">
      <alignment horizontal="left"/>
    </xf>
    <xf numFmtId="0" fontId="10" fillId="2" borderId="17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left"/>
    </xf>
    <xf numFmtId="0" fontId="3" fillId="4" borderId="18" xfId="0" applyFont="1" applyFill="1" applyBorder="1" applyAlignment="1">
      <alignment horizontal="left"/>
    </xf>
    <xf numFmtId="0" fontId="3" fillId="2" borderId="25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2" fillId="7" borderId="20" xfId="0" applyFont="1" applyFill="1" applyBorder="1" applyAlignment="1">
      <alignment horizontal="center"/>
    </xf>
    <xf numFmtId="0" fontId="2" fillId="7" borderId="21" xfId="0" applyFont="1" applyFill="1" applyBorder="1" applyAlignment="1">
      <alignment horizontal="center"/>
    </xf>
    <xf numFmtId="44" fontId="5" fillId="4" borderId="0" xfId="2" applyFont="1" applyFill="1" applyAlignment="1">
      <alignment horizontal="center"/>
    </xf>
    <xf numFmtId="10" fontId="2" fillId="3" borderId="22" xfId="0" applyNumberFormat="1" applyFont="1" applyFill="1" applyBorder="1" applyAlignment="1">
      <alignment horizontal="center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21F47-1F7E-4AB0-8981-B90988ABDCDF}">
  <dimension ref="A1:H24"/>
  <sheetViews>
    <sheetView tabSelected="1" workbookViewId="0">
      <selection activeCell="A9" sqref="A9:E9"/>
    </sheetView>
  </sheetViews>
  <sheetFormatPr defaultRowHeight="14.4" x14ac:dyDescent="0.3"/>
  <cols>
    <col min="1" max="1" width="15.109375" customWidth="1"/>
    <col min="5" max="5" width="36.33203125" customWidth="1"/>
    <col min="6" max="6" width="20.33203125" customWidth="1"/>
    <col min="7" max="7" width="14" bestFit="1" customWidth="1"/>
  </cols>
  <sheetData>
    <row r="1" spans="1:7" ht="18" customHeight="1" x14ac:dyDescent="0.3">
      <c r="A1" s="172" t="s">
        <v>130</v>
      </c>
      <c r="B1" s="173"/>
      <c r="C1" s="173"/>
      <c r="D1" s="173"/>
      <c r="E1" s="173"/>
      <c r="F1" s="174"/>
    </row>
    <row r="2" spans="1:7" ht="26.4" customHeight="1" x14ac:dyDescent="0.3">
      <c r="A2" s="175"/>
      <c r="B2" s="176"/>
      <c r="C2" s="176"/>
      <c r="D2" s="176"/>
      <c r="E2" s="176"/>
      <c r="F2" s="177"/>
    </row>
    <row r="3" spans="1:7" ht="15.6" x14ac:dyDescent="0.3">
      <c r="A3" s="178" t="s">
        <v>4</v>
      </c>
      <c r="B3" s="179"/>
      <c r="C3" s="179"/>
      <c r="D3" s="179"/>
      <c r="E3" s="179"/>
      <c r="F3" s="1" t="s">
        <v>5</v>
      </c>
    </row>
    <row r="4" spans="1:7" x14ac:dyDescent="0.3">
      <c r="A4" s="180" t="s">
        <v>126</v>
      </c>
      <c r="B4" s="181"/>
      <c r="C4" s="181"/>
      <c r="D4" s="181"/>
      <c r="E4" s="181"/>
      <c r="F4" s="4">
        <f>'Custo da Operação Geral '!F109</f>
        <v>83805.584831818182</v>
      </c>
      <c r="G4" s="5"/>
    </row>
    <row r="5" spans="1:7" x14ac:dyDescent="0.3">
      <c r="A5" s="180" t="s">
        <v>127</v>
      </c>
      <c r="B5" s="181"/>
      <c r="C5" s="181"/>
      <c r="D5" s="181"/>
      <c r="E5" s="181"/>
      <c r="F5" s="4">
        <f>'Custo da Operação Braçal'!F109</f>
        <v>83805.584831818182</v>
      </c>
      <c r="G5" s="5"/>
    </row>
    <row r="6" spans="1:7" x14ac:dyDescent="0.3">
      <c r="A6" s="168"/>
      <c r="B6" s="169"/>
      <c r="C6" s="169"/>
      <c r="D6" s="169"/>
      <c r="E6" s="169"/>
      <c r="F6" s="7"/>
    </row>
    <row r="7" spans="1:7" x14ac:dyDescent="0.3">
      <c r="A7" s="170" t="s">
        <v>6</v>
      </c>
      <c r="B7" s="171"/>
      <c r="C7" s="171"/>
      <c r="D7" s="171"/>
      <c r="E7" s="171"/>
      <c r="F7" s="9">
        <f>SUM(F4+F5)</f>
        <v>167611.16966363636</v>
      </c>
      <c r="G7" s="5"/>
    </row>
    <row r="8" spans="1:7" x14ac:dyDescent="0.3">
      <c r="A8" s="160"/>
      <c r="B8" s="161"/>
      <c r="C8" s="161"/>
      <c r="D8" s="161"/>
      <c r="E8" s="161"/>
      <c r="F8" s="8"/>
    </row>
    <row r="9" spans="1:7" x14ac:dyDescent="0.3">
      <c r="A9" s="153" t="s">
        <v>124</v>
      </c>
      <c r="B9" s="154"/>
      <c r="C9" s="154"/>
      <c r="D9" s="154"/>
      <c r="E9" s="154"/>
      <c r="F9" s="10">
        <f>F7*12</f>
        <v>2011334.0359636364</v>
      </c>
      <c r="G9" s="5"/>
    </row>
    <row r="10" spans="1:7" x14ac:dyDescent="0.3">
      <c r="A10" s="162"/>
      <c r="B10" s="163"/>
      <c r="C10" s="163"/>
      <c r="D10" s="163"/>
      <c r="E10" s="163"/>
      <c r="F10" s="7"/>
    </row>
    <row r="11" spans="1:7" x14ac:dyDescent="0.3">
      <c r="A11" s="153" t="s">
        <v>125</v>
      </c>
      <c r="B11" s="154"/>
      <c r="C11" s="154"/>
      <c r="D11" s="154"/>
      <c r="E11" s="154"/>
      <c r="F11" s="128">
        <v>20</v>
      </c>
    </row>
    <row r="12" spans="1:7" x14ac:dyDescent="0.3">
      <c r="A12" s="11"/>
      <c r="B12" s="12"/>
      <c r="C12" s="12"/>
      <c r="D12" s="12"/>
      <c r="E12" s="12"/>
      <c r="F12" s="7"/>
    </row>
    <row r="13" spans="1:7" x14ac:dyDescent="0.3">
      <c r="A13" s="13" t="s">
        <v>2</v>
      </c>
      <c r="B13" s="158" t="s">
        <v>0</v>
      </c>
      <c r="C13" s="158"/>
      <c r="D13" s="158"/>
      <c r="E13" s="158"/>
      <c r="F13" s="15" t="s">
        <v>7</v>
      </c>
    </row>
    <row r="14" spans="1:7" ht="92.25" customHeight="1" x14ac:dyDescent="0.3">
      <c r="A14" s="16">
        <v>1</v>
      </c>
      <c r="B14" s="164" t="s">
        <v>122</v>
      </c>
      <c r="C14" s="164"/>
      <c r="D14" s="164"/>
      <c r="E14" s="164"/>
      <c r="F14" s="17">
        <f>F4</f>
        <v>83805.584831818182</v>
      </c>
      <c r="G14" s="5"/>
    </row>
    <row r="15" spans="1:7" ht="92.25" customHeight="1" x14ac:dyDescent="0.3">
      <c r="A15" s="18">
        <v>2</v>
      </c>
      <c r="B15" s="165" t="s">
        <v>129</v>
      </c>
      <c r="C15" s="166"/>
      <c r="D15" s="166"/>
      <c r="E15" s="167"/>
      <c r="F15" s="19">
        <f>F5</f>
        <v>83805.584831818182</v>
      </c>
      <c r="G15" s="5"/>
    </row>
    <row r="16" spans="1:7" ht="30" customHeight="1" thickBot="1" x14ac:dyDescent="0.35">
      <c r="A16" s="20" t="s">
        <v>8</v>
      </c>
      <c r="B16" s="155" t="s">
        <v>134</v>
      </c>
      <c r="C16" s="155"/>
      <c r="D16" s="155"/>
      <c r="E16" s="155"/>
      <c r="F16" s="21">
        <f>SUM(F14+F15)</f>
        <v>167611.16966363636</v>
      </c>
      <c r="G16" s="5"/>
    </row>
    <row r="17" spans="1:8" ht="15.6" x14ac:dyDescent="0.3">
      <c r="A17" s="156"/>
      <c r="B17" s="157"/>
      <c r="C17" s="157"/>
      <c r="D17" s="157"/>
      <c r="E17" s="157"/>
      <c r="F17" s="22"/>
    </row>
    <row r="18" spans="1:8" ht="15.6" customHeight="1" x14ac:dyDescent="0.3">
      <c r="A18" s="154" t="s">
        <v>123</v>
      </c>
      <c r="B18" s="154"/>
      <c r="C18" s="154"/>
      <c r="D18" s="154"/>
      <c r="E18" s="154"/>
      <c r="F18" s="154"/>
    </row>
    <row r="19" spans="1:8" ht="15.6" customHeight="1" x14ac:dyDescent="0.3">
      <c r="A19" s="14" t="s">
        <v>2</v>
      </c>
      <c r="B19" s="158" t="s">
        <v>9</v>
      </c>
      <c r="C19" s="158"/>
      <c r="D19" s="158"/>
      <c r="E19" s="158"/>
      <c r="F19" s="15" t="s">
        <v>7</v>
      </c>
    </row>
    <row r="20" spans="1:8" ht="15.6" x14ac:dyDescent="0.3">
      <c r="A20" s="23">
        <f>A14</f>
        <v>1</v>
      </c>
      <c r="B20" s="159" t="s">
        <v>135</v>
      </c>
      <c r="C20" s="159"/>
      <c r="D20" s="159"/>
      <c r="E20" s="159"/>
      <c r="F20" s="24">
        <f>F4/F11</f>
        <v>4190.2792415909089</v>
      </c>
      <c r="G20" s="5"/>
    </row>
    <row r="22" spans="1:8" x14ac:dyDescent="0.3">
      <c r="A22" s="152"/>
      <c r="B22" s="152"/>
      <c r="C22" s="152"/>
      <c r="D22" s="152"/>
      <c r="E22" s="152"/>
      <c r="F22" s="152"/>
      <c r="G22" s="152"/>
      <c r="H22" s="152"/>
    </row>
    <row r="23" spans="1:8" x14ac:dyDescent="0.3">
      <c r="A23" s="152"/>
      <c r="B23" s="152"/>
      <c r="C23" s="152"/>
      <c r="D23" s="152"/>
      <c r="E23" s="152"/>
      <c r="F23" s="152"/>
      <c r="G23" s="152"/>
      <c r="H23" s="152"/>
    </row>
    <row r="24" spans="1:8" x14ac:dyDescent="0.3">
      <c r="A24" s="152"/>
      <c r="B24" s="152"/>
      <c r="C24" s="152"/>
      <c r="D24" s="152"/>
      <c r="E24" s="152"/>
      <c r="F24" s="152"/>
      <c r="G24" s="152"/>
      <c r="H24" s="152"/>
    </row>
  </sheetData>
  <mergeCells count="21">
    <mergeCell ref="A6:E6"/>
    <mergeCell ref="A7:E7"/>
    <mergeCell ref="A1:F2"/>
    <mergeCell ref="A3:E3"/>
    <mergeCell ref="A4:E4"/>
    <mergeCell ref="A5:E5"/>
    <mergeCell ref="A8:E8"/>
    <mergeCell ref="A9:E9"/>
    <mergeCell ref="A10:E10"/>
    <mergeCell ref="B13:E13"/>
    <mergeCell ref="B14:E14"/>
    <mergeCell ref="A22:H22"/>
    <mergeCell ref="A23:H23"/>
    <mergeCell ref="A24:H24"/>
    <mergeCell ref="A11:E11"/>
    <mergeCell ref="B16:E16"/>
    <mergeCell ref="A17:E17"/>
    <mergeCell ref="A18:F18"/>
    <mergeCell ref="B19:E19"/>
    <mergeCell ref="B20:E20"/>
    <mergeCell ref="B15:E15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E3CE3-2BBC-4085-A877-DD2BF87D51B1}">
  <dimension ref="A1:J110"/>
  <sheetViews>
    <sheetView topLeftCell="A9" workbookViewId="0">
      <selection activeCell="D14" sqref="D14"/>
    </sheetView>
  </sheetViews>
  <sheetFormatPr defaultRowHeight="15.6" x14ac:dyDescent="0.3"/>
  <cols>
    <col min="1" max="1" width="52.109375" style="26" bestFit="1" customWidth="1"/>
    <col min="2" max="2" width="14.5546875" style="26" bestFit="1" customWidth="1"/>
    <col min="3" max="3" width="15.88671875" style="26" bestFit="1" customWidth="1"/>
    <col min="4" max="4" width="18.77734375" style="26" bestFit="1" customWidth="1"/>
    <col min="5" max="5" width="17.21875" style="26" bestFit="1" customWidth="1"/>
    <col min="6" max="6" width="15.33203125" style="26" bestFit="1" customWidth="1"/>
    <col min="7" max="16384" width="8.88671875" style="26"/>
  </cols>
  <sheetData>
    <row r="1" spans="1:6" ht="21.6" thickBot="1" x14ac:dyDescent="0.45">
      <c r="A1" s="198" t="s">
        <v>10</v>
      </c>
      <c r="B1" s="198"/>
      <c r="C1" s="198"/>
      <c r="D1" s="198"/>
      <c r="E1" s="198"/>
      <c r="F1" s="198"/>
    </row>
    <row r="2" spans="1:6" ht="16.8" customHeight="1" thickBot="1" x14ac:dyDescent="0.45">
      <c r="A2" s="27" t="s">
        <v>0</v>
      </c>
      <c r="B2" s="28" t="s">
        <v>11</v>
      </c>
      <c r="C2" s="28" t="s">
        <v>12</v>
      </c>
      <c r="D2" s="25"/>
      <c r="E2" s="25"/>
      <c r="F2" s="25"/>
    </row>
    <row r="3" spans="1:6" x14ac:dyDescent="0.3">
      <c r="A3" s="29" t="s">
        <v>87</v>
      </c>
      <c r="B3" s="30">
        <v>20</v>
      </c>
      <c r="C3" s="30" t="s">
        <v>128</v>
      </c>
    </row>
    <row r="4" spans="1:6" x14ac:dyDescent="0.3">
      <c r="A4" s="29" t="s">
        <v>13</v>
      </c>
      <c r="B4" s="30">
        <v>1</v>
      </c>
      <c r="C4" s="30" t="s">
        <v>14</v>
      </c>
    </row>
    <row r="5" spans="1:6" x14ac:dyDescent="0.3">
      <c r="A5" s="148" t="s">
        <v>16</v>
      </c>
      <c r="B5" s="149">
        <v>40</v>
      </c>
      <c r="C5" s="150" t="s">
        <v>17</v>
      </c>
    </row>
    <row r="6" spans="1:6" x14ac:dyDescent="0.3">
      <c r="A6" s="29" t="s">
        <v>120</v>
      </c>
      <c r="B6" s="31">
        <v>0.5</v>
      </c>
      <c r="C6" s="30" t="s">
        <v>89</v>
      </c>
    </row>
    <row r="8" spans="1:6" ht="21.6" thickBot="1" x14ac:dyDescent="0.45">
      <c r="A8" s="198" t="s">
        <v>18</v>
      </c>
      <c r="B8" s="198"/>
      <c r="C8" s="198"/>
      <c r="D8" s="198"/>
      <c r="E8" s="198"/>
      <c r="F8" s="198"/>
    </row>
    <row r="9" spans="1:6" ht="16.2" thickBot="1" x14ac:dyDescent="0.35">
      <c r="A9" s="183" t="s">
        <v>19</v>
      </c>
      <c r="B9" s="184"/>
      <c r="C9" s="184"/>
      <c r="D9" s="184"/>
      <c r="E9" s="184"/>
      <c r="F9" s="185"/>
    </row>
    <row r="10" spans="1:6" ht="16.2" thickBot="1" x14ac:dyDescent="0.35">
      <c r="A10" s="199" t="s">
        <v>96</v>
      </c>
      <c r="B10" s="199"/>
      <c r="C10" s="199"/>
      <c r="D10" s="199"/>
      <c r="E10" s="199"/>
      <c r="F10" s="199"/>
    </row>
    <row r="11" spans="1:6" ht="16.2" thickBot="1" x14ac:dyDescent="0.35">
      <c r="A11" s="27" t="s">
        <v>0</v>
      </c>
      <c r="B11" s="28" t="s">
        <v>12</v>
      </c>
      <c r="C11" s="28" t="s">
        <v>11</v>
      </c>
      <c r="D11" s="28" t="s">
        <v>20</v>
      </c>
      <c r="E11" s="28" t="s">
        <v>21</v>
      </c>
      <c r="F11" s="33" t="s">
        <v>22</v>
      </c>
    </row>
    <row r="12" spans="1:6" x14ac:dyDescent="0.3">
      <c r="A12" s="34" t="s">
        <v>23</v>
      </c>
      <c r="B12" s="35" t="s">
        <v>24</v>
      </c>
      <c r="C12" s="35">
        <v>1</v>
      </c>
      <c r="D12" s="36">
        <v>1765.86</v>
      </c>
      <c r="E12" s="37">
        <f>D12*C12</f>
        <v>1765.86</v>
      </c>
    </row>
    <row r="13" spans="1:6" x14ac:dyDescent="0.3">
      <c r="A13" s="34" t="s">
        <v>133</v>
      </c>
      <c r="B13" s="35" t="s">
        <v>24</v>
      </c>
      <c r="C13" s="35">
        <v>1</v>
      </c>
      <c r="D13" s="206">
        <v>1621</v>
      </c>
      <c r="E13" s="37" t="s">
        <v>28</v>
      </c>
    </row>
    <row r="14" spans="1:6" x14ac:dyDescent="0.3">
      <c r="A14" s="34" t="s">
        <v>131</v>
      </c>
      <c r="B14" s="35" t="s">
        <v>132</v>
      </c>
      <c r="C14" s="35">
        <v>40</v>
      </c>
      <c r="D14" s="36">
        <f>(D12)*(40/44)</f>
        <v>1605.3272727272727</v>
      </c>
      <c r="E14" s="37">
        <f>D14</f>
        <v>1605.3272727272727</v>
      </c>
    </row>
    <row r="15" spans="1:6" x14ac:dyDescent="0.3">
      <c r="A15" s="29" t="s">
        <v>25</v>
      </c>
      <c r="B15" s="30" t="s">
        <v>15</v>
      </c>
      <c r="C15" s="151">
        <v>0.2</v>
      </c>
      <c r="D15" s="39">
        <f>D13</f>
        <v>1621</v>
      </c>
      <c r="E15" s="39">
        <f>D15*C15</f>
        <v>324.20000000000005</v>
      </c>
    </row>
    <row r="16" spans="1:6" x14ac:dyDescent="0.3">
      <c r="A16" s="29" t="s">
        <v>26</v>
      </c>
      <c r="B16" s="30" t="s">
        <v>15</v>
      </c>
      <c r="C16" s="38">
        <v>0.7</v>
      </c>
      <c r="D16" s="39">
        <f>D13</f>
        <v>1621</v>
      </c>
      <c r="E16" s="39">
        <f>D16*C16</f>
        <v>1134.6999999999998</v>
      </c>
    </row>
    <row r="17" spans="1:7" x14ac:dyDescent="0.3">
      <c r="A17" s="29" t="s">
        <v>27</v>
      </c>
      <c r="B17" s="30" t="s">
        <v>93</v>
      </c>
      <c r="C17" s="30">
        <v>1</v>
      </c>
      <c r="D17" s="30" t="s">
        <v>28</v>
      </c>
      <c r="E17" s="39">
        <f>SUM(E14+E15+E16)</f>
        <v>3064.2272727272725</v>
      </c>
    </row>
    <row r="18" spans="1:7" ht="16.2" thickBot="1" x14ac:dyDescent="0.35">
      <c r="A18" s="29" t="s">
        <v>88</v>
      </c>
      <c r="B18" s="30" t="s">
        <v>3</v>
      </c>
      <c r="C18" s="42">
        <v>20</v>
      </c>
      <c r="D18" s="43">
        <f>E17</f>
        <v>3064.2272727272725</v>
      </c>
      <c r="E18" s="44">
        <f>D18*C18</f>
        <v>61284.545454545449</v>
      </c>
    </row>
    <row r="19" spans="1:7" ht="16.2" thickBot="1" x14ac:dyDescent="0.35">
      <c r="A19" s="45"/>
      <c r="B19" s="46"/>
      <c r="C19" s="46"/>
      <c r="D19" s="46"/>
      <c r="E19" s="46"/>
      <c r="F19" s="47">
        <f>E18</f>
        <v>61284.545454545449</v>
      </c>
    </row>
    <row r="20" spans="1:7" x14ac:dyDescent="0.3">
      <c r="A20" s="45"/>
      <c r="B20" s="46"/>
      <c r="C20" s="46"/>
      <c r="D20" s="46"/>
      <c r="E20" s="46"/>
      <c r="F20" s="46"/>
    </row>
    <row r="21" spans="1:7" ht="16.2" thickBot="1" x14ac:dyDescent="0.35">
      <c r="A21" s="32" t="s">
        <v>97</v>
      </c>
      <c r="B21" s="46"/>
      <c r="C21" s="46"/>
      <c r="D21" s="46"/>
      <c r="E21" s="46"/>
      <c r="F21" s="46"/>
    </row>
    <row r="22" spans="1:7" ht="16.2" thickBot="1" x14ac:dyDescent="0.35">
      <c r="A22" s="27" t="s">
        <v>0</v>
      </c>
      <c r="B22" s="28" t="s">
        <v>12</v>
      </c>
      <c r="C22" s="28" t="s">
        <v>11</v>
      </c>
      <c r="D22" s="28" t="s">
        <v>20</v>
      </c>
      <c r="E22" s="28" t="s">
        <v>21</v>
      </c>
      <c r="F22" s="33" t="s">
        <v>22</v>
      </c>
    </row>
    <row r="23" spans="1:7" x14ac:dyDescent="0.3">
      <c r="A23" s="34" t="s">
        <v>23</v>
      </c>
      <c r="B23" s="35" t="s">
        <v>24</v>
      </c>
      <c r="C23" s="35">
        <v>1</v>
      </c>
      <c r="D23" s="36">
        <v>3500</v>
      </c>
      <c r="E23" s="133">
        <f>D23*C23</f>
        <v>3500</v>
      </c>
    </row>
    <row r="24" spans="1:7" x14ac:dyDescent="0.3">
      <c r="A24" s="29" t="s">
        <v>26</v>
      </c>
      <c r="B24" s="30" t="s">
        <v>15</v>
      </c>
      <c r="C24" s="38">
        <v>0.7</v>
      </c>
      <c r="D24" s="39">
        <f>D23*C24</f>
        <v>2450</v>
      </c>
      <c r="E24" s="39">
        <f>D24*C24</f>
        <v>1715</v>
      </c>
      <c r="F24" s="46"/>
    </row>
    <row r="25" spans="1:7" ht="16.2" thickBot="1" x14ac:dyDescent="0.35">
      <c r="A25" s="29" t="s">
        <v>27</v>
      </c>
      <c r="B25" s="30" t="s">
        <v>93</v>
      </c>
      <c r="C25" s="30">
        <v>1</v>
      </c>
      <c r="D25" s="30" t="s">
        <v>28</v>
      </c>
      <c r="E25" s="39">
        <f>SUM(E23+E24)</f>
        <v>5215</v>
      </c>
      <c r="F25" s="46"/>
    </row>
    <row r="26" spans="1:7" ht="16.2" thickBot="1" x14ac:dyDescent="0.35">
      <c r="A26" s="45"/>
      <c r="B26" s="46"/>
      <c r="C26" s="46"/>
      <c r="D26" s="130" t="s">
        <v>119</v>
      </c>
      <c r="E26" s="132">
        <f>B6</f>
        <v>0.5</v>
      </c>
      <c r="F26" s="85">
        <f>E25*E26</f>
        <v>2607.5</v>
      </c>
      <c r="G26" s="46"/>
    </row>
    <row r="27" spans="1:7" x14ac:dyDescent="0.3">
      <c r="B27" s="48"/>
      <c r="C27" s="48"/>
      <c r="D27" s="48"/>
      <c r="E27" s="48"/>
    </row>
    <row r="28" spans="1:7" ht="16.2" thickBot="1" x14ac:dyDescent="0.35">
      <c r="A28" s="199" t="s">
        <v>90</v>
      </c>
      <c r="B28" s="199"/>
      <c r="C28" s="199"/>
      <c r="D28" s="199"/>
      <c r="E28" s="199"/>
      <c r="F28" s="199"/>
    </row>
    <row r="29" spans="1:7" x14ac:dyDescent="0.3">
      <c r="A29" s="49" t="s">
        <v>0</v>
      </c>
      <c r="B29" s="50" t="s">
        <v>12</v>
      </c>
      <c r="C29" s="50" t="s">
        <v>11</v>
      </c>
      <c r="D29" s="50" t="s">
        <v>20</v>
      </c>
      <c r="E29" s="50" t="s">
        <v>21</v>
      </c>
      <c r="F29" s="51" t="s">
        <v>22</v>
      </c>
    </row>
    <row r="30" spans="1:7" x14ac:dyDescent="0.3">
      <c r="A30" s="29" t="s">
        <v>91</v>
      </c>
      <c r="B30" s="30" t="s">
        <v>92</v>
      </c>
      <c r="C30" s="30">
        <v>1</v>
      </c>
      <c r="D30" s="52">
        <v>27.15</v>
      </c>
      <c r="E30" s="43">
        <f>D30*C30</f>
        <v>27.15</v>
      </c>
    </row>
    <row r="31" spans="1:7" ht="16.2" thickBot="1" x14ac:dyDescent="0.35">
      <c r="A31" s="29" t="s">
        <v>88</v>
      </c>
      <c r="B31" s="30" t="s">
        <v>3</v>
      </c>
      <c r="C31" s="30">
        <v>20</v>
      </c>
      <c r="D31" s="39">
        <f>D30</f>
        <v>27.15</v>
      </c>
      <c r="E31" s="43">
        <f>D31*C31</f>
        <v>543</v>
      </c>
    </row>
    <row r="32" spans="1:7" ht="16.2" thickBot="1" x14ac:dyDescent="0.35">
      <c r="B32" s="48"/>
      <c r="C32" s="48"/>
      <c r="D32" s="48"/>
      <c r="E32" s="48"/>
      <c r="F32" s="53">
        <f>E31</f>
        <v>543</v>
      </c>
    </row>
    <row r="33" spans="1:6" ht="16.2" thickBot="1" x14ac:dyDescent="0.35">
      <c r="A33" s="199" t="s">
        <v>94</v>
      </c>
      <c r="B33" s="199"/>
      <c r="C33" s="199"/>
      <c r="D33" s="199"/>
      <c r="E33" s="199"/>
      <c r="F33" s="199"/>
    </row>
    <row r="34" spans="1:6" ht="16.2" thickBot="1" x14ac:dyDescent="0.35">
      <c r="A34" s="27" t="s">
        <v>0</v>
      </c>
      <c r="B34" s="28" t="s">
        <v>12</v>
      </c>
      <c r="C34" s="28" t="s">
        <v>11</v>
      </c>
      <c r="D34" s="28" t="s">
        <v>20</v>
      </c>
      <c r="E34" s="28" t="s">
        <v>21</v>
      </c>
      <c r="F34" s="33" t="s">
        <v>22</v>
      </c>
    </row>
    <row r="35" spans="1:6" x14ac:dyDescent="0.3">
      <c r="A35" s="34" t="s">
        <v>95</v>
      </c>
      <c r="B35" s="35" t="s">
        <v>92</v>
      </c>
      <c r="C35" s="35">
        <v>1</v>
      </c>
      <c r="D35" s="37">
        <v>13.57</v>
      </c>
      <c r="E35" s="37">
        <f>C35*D35</f>
        <v>13.57</v>
      </c>
      <c r="F35" s="54"/>
    </row>
    <row r="36" spans="1:6" ht="16.2" thickBot="1" x14ac:dyDescent="0.35">
      <c r="A36" s="29" t="s">
        <v>88</v>
      </c>
      <c r="B36" s="30" t="s">
        <v>3</v>
      </c>
      <c r="C36" s="30">
        <v>20</v>
      </c>
      <c r="D36" s="39">
        <f>D35</f>
        <v>13.57</v>
      </c>
      <c r="E36" s="43">
        <f>D36*C36</f>
        <v>271.39999999999998</v>
      </c>
    </row>
    <row r="37" spans="1:6" ht="16.2" thickBot="1" x14ac:dyDescent="0.35">
      <c r="A37" s="26" t="s">
        <v>29</v>
      </c>
      <c r="B37" s="131"/>
      <c r="C37" s="131"/>
      <c r="D37" s="131"/>
      <c r="E37" s="131"/>
      <c r="F37" s="55">
        <f>E36</f>
        <v>271.39999999999998</v>
      </c>
    </row>
    <row r="39" spans="1:6" ht="16.2" thickBot="1" x14ac:dyDescent="0.35">
      <c r="B39" s="48"/>
      <c r="C39" s="48"/>
      <c r="D39" s="48"/>
      <c r="E39" s="48"/>
      <c r="F39" s="56"/>
    </row>
    <row r="40" spans="1:6" ht="16.2" thickBot="1" x14ac:dyDescent="0.35">
      <c r="A40" s="195" t="s">
        <v>30</v>
      </c>
      <c r="B40" s="196"/>
      <c r="C40" s="196"/>
      <c r="D40" s="196"/>
      <c r="E40" s="197"/>
      <c r="F40" s="57">
        <f>SUM(F37+F32+F26+F19)</f>
        <v>64706.44545454545</v>
      </c>
    </row>
    <row r="41" spans="1:6" ht="16.2" thickBot="1" x14ac:dyDescent="0.35"/>
    <row r="42" spans="1:6" ht="16.2" thickBot="1" x14ac:dyDescent="0.35">
      <c r="A42" s="183" t="s">
        <v>31</v>
      </c>
      <c r="B42" s="184"/>
      <c r="C42" s="184"/>
      <c r="D42" s="184"/>
      <c r="E42" s="184"/>
      <c r="F42" s="185"/>
    </row>
    <row r="43" spans="1:6" x14ac:dyDescent="0.3">
      <c r="A43" s="49" t="s">
        <v>0</v>
      </c>
      <c r="B43" s="50" t="s">
        <v>12</v>
      </c>
      <c r="C43" s="50" t="s">
        <v>11</v>
      </c>
      <c r="D43" s="50" t="s">
        <v>20</v>
      </c>
      <c r="E43" s="50" t="s">
        <v>21</v>
      </c>
      <c r="F43" s="51" t="s">
        <v>22</v>
      </c>
    </row>
    <row r="44" spans="1:6" x14ac:dyDescent="0.3">
      <c r="A44" s="58" t="s">
        <v>98</v>
      </c>
      <c r="B44" s="59">
        <v>2</v>
      </c>
      <c r="C44" s="60">
        <v>1</v>
      </c>
      <c r="D44" s="61">
        <v>25</v>
      </c>
      <c r="E44" s="61">
        <f>(D44*B44)</f>
        <v>50</v>
      </c>
    </row>
    <row r="45" spans="1:6" x14ac:dyDescent="0.3">
      <c r="A45" s="58" t="s">
        <v>100</v>
      </c>
      <c r="B45" s="59">
        <v>1</v>
      </c>
      <c r="C45" s="60">
        <v>0.16666666666666666</v>
      </c>
      <c r="D45" s="61">
        <v>20</v>
      </c>
      <c r="E45" s="61">
        <f>D45/6*2</f>
        <v>6.666666666666667</v>
      </c>
    </row>
    <row r="46" spans="1:6" x14ac:dyDescent="0.3">
      <c r="A46" s="58" t="s">
        <v>32</v>
      </c>
      <c r="B46" s="59">
        <v>2</v>
      </c>
      <c r="C46" s="60">
        <v>0.16666666666666666</v>
      </c>
      <c r="D46" s="62">
        <v>50</v>
      </c>
      <c r="E46" s="61">
        <f>D46*B46/6*2</f>
        <v>33.333333333333336</v>
      </c>
    </row>
    <row r="47" spans="1:6" s="134" customFormat="1" x14ac:dyDescent="0.3">
      <c r="A47" s="58" t="s">
        <v>34</v>
      </c>
      <c r="B47" s="59">
        <v>2</v>
      </c>
      <c r="C47" s="63" t="s">
        <v>33</v>
      </c>
      <c r="D47" s="62">
        <v>25</v>
      </c>
      <c r="E47" s="61">
        <f>(D47*B47)/12</f>
        <v>4.166666666666667</v>
      </c>
    </row>
    <row r="48" spans="1:6" x14ac:dyDescent="0.3">
      <c r="A48" s="58" t="s">
        <v>99</v>
      </c>
      <c r="B48" s="59">
        <v>1</v>
      </c>
      <c r="C48" s="60">
        <v>1</v>
      </c>
      <c r="D48" s="62">
        <v>20</v>
      </c>
      <c r="E48" s="61">
        <f>(D48*B48)/3*4</f>
        <v>26.666666666666668</v>
      </c>
    </row>
    <row r="49" spans="1:10" x14ac:dyDescent="0.3">
      <c r="A49" s="58" t="s">
        <v>35</v>
      </c>
      <c r="B49" s="59">
        <v>1</v>
      </c>
      <c r="C49" s="63" t="s">
        <v>33</v>
      </c>
      <c r="D49" s="62">
        <v>50</v>
      </c>
      <c r="E49" s="61">
        <f>(D49*B49)/12</f>
        <v>4.166666666666667</v>
      </c>
      <c r="J49" s="64" t="s">
        <v>36</v>
      </c>
    </row>
    <row r="50" spans="1:10" x14ac:dyDescent="0.3">
      <c r="A50" s="58" t="s">
        <v>37</v>
      </c>
      <c r="B50" s="59">
        <v>1</v>
      </c>
      <c r="C50" s="63" t="s">
        <v>33</v>
      </c>
      <c r="D50" s="62">
        <v>40</v>
      </c>
      <c r="E50" s="61">
        <f>(D50*B50)/12</f>
        <v>3.3333333333333335</v>
      </c>
    </row>
    <row r="51" spans="1:10" x14ac:dyDescent="0.3">
      <c r="A51" s="193" t="s">
        <v>38</v>
      </c>
      <c r="B51" s="193"/>
      <c r="C51" s="193"/>
      <c r="D51" s="194"/>
      <c r="E51" s="65">
        <f>SUM(E44:E50)</f>
        <v>128.33333333333334</v>
      </c>
    </row>
    <row r="52" spans="1:10" ht="16.2" thickBot="1" x14ac:dyDescent="0.35">
      <c r="A52" s="58" t="s">
        <v>39</v>
      </c>
      <c r="B52" s="59" t="s">
        <v>40</v>
      </c>
      <c r="C52" s="59">
        <v>20</v>
      </c>
      <c r="D52" s="66">
        <f>E51</f>
        <v>128.33333333333334</v>
      </c>
      <c r="E52" s="67">
        <f>C52*D52</f>
        <v>2566.666666666667</v>
      </c>
    </row>
    <row r="53" spans="1:10" ht="16.2" thickBot="1" x14ac:dyDescent="0.35">
      <c r="A53" s="192" t="s">
        <v>41</v>
      </c>
      <c r="B53" s="193"/>
      <c r="C53" s="193"/>
      <c r="D53" s="193"/>
      <c r="E53" s="194"/>
      <c r="F53" s="68">
        <f>E52</f>
        <v>2566.666666666667</v>
      </c>
    </row>
    <row r="55" spans="1:10" x14ac:dyDescent="0.3">
      <c r="A55" s="189" t="s">
        <v>42</v>
      </c>
      <c r="B55" s="190"/>
      <c r="C55" s="190"/>
      <c r="D55" s="190"/>
      <c r="E55" s="191"/>
      <c r="F55" s="69">
        <f>F53</f>
        <v>2566.666666666667</v>
      </c>
    </row>
    <row r="57" spans="1:10" x14ac:dyDescent="0.3">
      <c r="A57" s="189" t="s">
        <v>43</v>
      </c>
      <c r="B57" s="190"/>
      <c r="C57" s="190"/>
      <c r="D57" s="190"/>
      <c r="E57" s="191"/>
      <c r="F57" s="70">
        <f>SUM(F55+F40)</f>
        <v>67273.112121212122</v>
      </c>
    </row>
    <row r="58" spans="1:10" ht="16.2" thickBot="1" x14ac:dyDescent="0.35"/>
    <row r="59" spans="1:10" ht="16.2" thickBot="1" x14ac:dyDescent="0.35">
      <c r="A59" s="183" t="s">
        <v>44</v>
      </c>
      <c r="B59" s="184"/>
      <c r="C59" s="184"/>
      <c r="D59" s="184"/>
      <c r="E59" s="184"/>
      <c r="F59" s="185"/>
    </row>
    <row r="60" spans="1:10" ht="16.2" thickBot="1" x14ac:dyDescent="0.35">
      <c r="A60" s="71" t="s">
        <v>45</v>
      </c>
      <c r="B60" s="72"/>
      <c r="C60" s="72"/>
      <c r="D60" s="72"/>
      <c r="E60" s="72"/>
      <c r="F60" s="73"/>
    </row>
    <row r="61" spans="1:10" x14ac:dyDescent="0.3">
      <c r="A61" s="49" t="s">
        <v>0</v>
      </c>
      <c r="B61" s="50" t="s">
        <v>12</v>
      </c>
      <c r="C61" s="50" t="s">
        <v>11</v>
      </c>
      <c r="D61" s="50" t="s">
        <v>20</v>
      </c>
      <c r="E61" s="50" t="s">
        <v>21</v>
      </c>
      <c r="F61" s="51" t="s">
        <v>22</v>
      </c>
    </row>
    <row r="62" spans="1:10" x14ac:dyDescent="0.3">
      <c r="A62" s="74" t="s">
        <v>46</v>
      </c>
      <c r="B62" s="75" t="s">
        <v>47</v>
      </c>
      <c r="C62" s="75">
        <f>B4</f>
        <v>1</v>
      </c>
      <c r="D62" s="76">
        <v>20000</v>
      </c>
      <c r="E62" s="77">
        <f>C62*D62</f>
        <v>20000</v>
      </c>
    </row>
    <row r="63" spans="1:10" x14ac:dyDescent="0.3">
      <c r="A63" s="74" t="s">
        <v>48</v>
      </c>
      <c r="B63" s="75" t="s">
        <v>49</v>
      </c>
      <c r="C63" s="78">
        <v>5</v>
      </c>
      <c r="D63" s="77" t="s">
        <v>28</v>
      </c>
      <c r="E63" s="77" t="s">
        <v>28</v>
      </c>
    </row>
    <row r="64" spans="1:10" x14ac:dyDescent="0.3">
      <c r="A64" s="74" t="s">
        <v>50</v>
      </c>
      <c r="B64" s="75" t="s">
        <v>49</v>
      </c>
      <c r="C64" s="75">
        <v>0</v>
      </c>
      <c r="D64" s="77" t="s">
        <v>28</v>
      </c>
      <c r="E64" s="77" t="s">
        <v>28</v>
      </c>
    </row>
    <row r="65" spans="1:7" x14ac:dyDescent="0.3">
      <c r="A65" s="74" t="s">
        <v>51</v>
      </c>
      <c r="B65" s="75" t="s">
        <v>15</v>
      </c>
      <c r="C65" s="79">
        <v>0.2</v>
      </c>
      <c r="D65" s="80">
        <f>E62</f>
        <v>20000</v>
      </c>
      <c r="E65" s="80">
        <f>D65*C65</f>
        <v>4000</v>
      </c>
    </row>
    <row r="66" spans="1:7" x14ac:dyDescent="0.3">
      <c r="A66" s="74" t="s">
        <v>52</v>
      </c>
      <c r="B66" s="75" t="s">
        <v>53</v>
      </c>
      <c r="C66" s="81">
        <v>60</v>
      </c>
      <c r="D66" s="80">
        <f>D65-E65</f>
        <v>16000</v>
      </c>
      <c r="E66" s="80" t="s">
        <v>28</v>
      </c>
    </row>
    <row r="67" spans="1:7" ht="16.2" thickBot="1" x14ac:dyDescent="0.35">
      <c r="A67" s="82" t="s">
        <v>54</v>
      </c>
      <c r="B67" s="83" t="s">
        <v>24</v>
      </c>
      <c r="C67" s="83">
        <f>C63*12</f>
        <v>60</v>
      </c>
      <c r="D67" s="84">
        <f>D66</f>
        <v>16000</v>
      </c>
      <c r="E67" s="84">
        <f>IFERROR(D67/C67,0)</f>
        <v>266.66666666666669</v>
      </c>
    </row>
    <row r="68" spans="1:7" ht="16.2" thickBot="1" x14ac:dyDescent="0.35">
      <c r="B68" s="46"/>
      <c r="C68" s="46"/>
      <c r="D68" s="46"/>
      <c r="E68" s="46"/>
      <c r="F68" s="85">
        <f>E67</f>
        <v>266.66666666666669</v>
      </c>
    </row>
    <row r="69" spans="1:7" ht="16.2" thickBot="1" x14ac:dyDescent="0.35">
      <c r="A69" s="86" t="s">
        <v>55</v>
      </c>
      <c r="B69" s="86"/>
      <c r="C69" s="86"/>
      <c r="D69" s="87"/>
      <c r="E69" s="87"/>
      <c r="F69" s="87"/>
      <c r="G69" s="87"/>
    </row>
    <row r="70" spans="1:7" x14ac:dyDescent="0.3">
      <c r="A70" s="49" t="s">
        <v>0</v>
      </c>
      <c r="B70" s="50" t="s">
        <v>12</v>
      </c>
      <c r="C70" s="50" t="s">
        <v>11</v>
      </c>
      <c r="D70" s="50" t="s">
        <v>20</v>
      </c>
      <c r="E70" s="50" t="s">
        <v>21</v>
      </c>
      <c r="F70" s="51" t="s">
        <v>22</v>
      </c>
      <c r="G70" s="87"/>
    </row>
    <row r="71" spans="1:7" x14ac:dyDescent="0.3">
      <c r="A71" s="88" t="s">
        <v>56</v>
      </c>
      <c r="B71" s="89" t="s">
        <v>15</v>
      </c>
      <c r="C71" s="90">
        <v>0.03</v>
      </c>
      <c r="D71" s="91">
        <f>D62*C71</f>
        <v>600</v>
      </c>
      <c r="E71" s="92">
        <f>D71/12</f>
        <v>50</v>
      </c>
      <c r="F71" s="93"/>
      <c r="G71" s="87"/>
    </row>
    <row r="72" spans="1:7" x14ac:dyDescent="0.3">
      <c r="A72" s="74" t="s">
        <v>57</v>
      </c>
      <c r="B72" s="75" t="s">
        <v>53</v>
      </c>
      <c r="C72" s="94">
        <v>12</v>
      </c>
      <c r="D72" s="95">
        <v>120</v>
      </c>
      <c r="E72" s="80">
        <f>D72/10</f>
        <v>12</v>
      </c>
      <c r="F72" s="93"/>
      <c r="G72" s="87"/>
    </row>
    <row r="73" spans="1:7" x14ac:dyDescent="0.3">
      <c r="A73" s="74" t="s">
        <v>58</v>
      </c>
      <c r="B73" s="75" t="s">
        <v>53</v>
      </c>
      <c r="C73" s="94">
        <v>12</v>
      </c>
      <c r="D73" s="95">
        <v>1200</v>
      </c>
      <c r="E73" s="80">
        <f>D73/C73</f>
        <v>100</v>
      </c>
      <c r="F73" s="96"/>
      <c r="G73" s="87"/>
    </row>
    <row r="74" spans="1:7" ht="16.2" thickBot="1" x14ac:dyDescent="0.35">
      <c r="A74" s="82" t="s">
        <v>59</v>
      </c>
      <c r="B74" s="83" t="s">
        <v>60</v>
      </c>
      <c r="C74" s="83">
        <v>1</v>
      </c>
      <c r="D74" s="84" t="s">
        <v>28</v>
      </c>
      <c r="E74" s="84">
        <f>SUM(E71:E73)</f>
        <v>162</v>
      </c>
      <c r="F74" s="93"/>
      <c r="G74" s="87"/>
    </row>
    <row r="75" spans="1:7" ht="16.2" thickBot="1" x14ac:dyDescent="0.35">
      <c r="A75" s="97"/>
      <c r="B75" s="97"/>
      <c r="C75" s="97"/>
      <c r="D75" s="97"/>
      <c r="E75" s="97"/>
      <c r="F75" s="98">
        <f>E74</f>
        <v>162</v>
      </c>
      <c r="G75" s="87"/>
    </row>
    <row r="76" spans="1:7" x14ac:dyDescent="0.3">
      <c r="A76" s="86" t="s">
        <v>61</v>
      </c>
      <c r="B76" s="99"/>
      <c r="C76" s="86"/>
      <c r="D76" s="87"/>
      <c r="E76" s="87"/>
      <c r="F76" s="87"/>
    </row>
    <row r="77" spans="1:7" x14ac:dyDescent="0.3">
      <c r="A77" s="86"/>
      <c r="B77" s="99"/>
      <c r="C77" s="86"/>
      <c r="D77" s="87"/>
      <c r="E77" s="87"/>
      <c r="F77" s="87"/>
    </row>
    <row r="78" spans="1:7" x14ac:dyDescent="0.3">
      <c r="A78" s="100" t="s">
        <v>62</v>
      </c>
      <c r="B78" s="101">
        <f>B5</f>
        <v>40</v>
      </c>
      <c r="C78" s="86"/>
      <c r="D78" s="87"/>
      <c r="E78" s="87"/>
      <c r="F78" s="87"/>
    </row>
    <row r="79" spans="1:7" ht="16.2" thickBot="1" x14ac:dyDescent="0.35">
      <c r="A79" s="86"/>
      <c r="B79" s="99"/>
      <c r="C79" s="86"/>
      <c r="D79" s="87"/>
      <c r="E79" s="87"/>
      <c r="F79" s="87"/>
    </row>
    <row r="80" spans="1:7" ht="16.2" thickBot="1" x14ac:dyDescent="0.35">
      <c r="A80" s="102" t="s">
        <v>63</v>
      </c>
      <c r="B80" s="103" t="s">
        <v>12</v>
      </c>
      <c r="C80" s="103" t="s">
        <v>64</v>
      </c>
      <c r="D80" s="104" t="s">
        <v>65</v>
      </c>
      <c r="E80" s="104" t="s">
        <v>66</v>
      </c>
      <c r="F80" s="105" t="s">
        <v>67</v>
      </c>
    </row>
    <row r="81" spans="1:6" x14ac:dyDescent="0.3">
      <c r="A81" s="106" t="s">
        <v>68</v>
      </c>
      <c r="B81" s="107" t="s">
        <v>69</v>
      </c>
      <c r="C81" s="91">
        <v>13</v>
      </c>
      <c r="D81" s="91">
        <v>6.27</v>
      </c>
      <c r="E81" s="108"/>
      <c r="F81" s="87"/>
    </row>
    <row r="82" spans="1:6" x14ac:dyDescent="0.3">
      <c r="A82" s="40" t="s">
        <v>70</v>
      </c>
      <c r="B82" s="41" t="s">
        <v>17</v>
      </c>
      <c r="C82" s="109">
        <f>B78</f>
        <v>40</v>
      </c>
      <c r="D82" s="110">
        <f>IFERROR(+D81/C81,"-")</f>
        <v>0.48230769230769227</v>
      </c>
      <c r="E82" s="111">
        <f>IFERROR(C82*D82,"-")</f>
        <v>19.292307692307691</v>
      </c>
      <c r="F82" s="87"/>
    </row>
    <row r="83" spans="1:6" x14ac:dyDescent="0.3">
      <c r="A83" s="40" t="s">
        <v>71</v>
      </c>
      <c r="B83" s="41" t="s">
        <v>72</v>
      </c>
      <c r="C83" s="112">
        <v>1</v>
      </c>
      <c r="D83" s="95">
        <v>180</v>
      </c>
      <c r="E83" s="111"/>
      <c r="F83" s="87"/>
    </row>
    <row r="84" spans="1:6" x14ac:dyDescent="0.3">
      <c r="A84" s="40" t="s">
        <v>73</v>
      </c>
      <c r="B84" s="41" t="s">
        <v>17</v>
      </c>
      <c r="C84" s="109">
        <f>C82</f>
        <v>40</v>
      </c>
      <c r="D84" s="113">
        <f>+C83*D83/1000</f>
        <v>0.18</v>
      </c>
      <c r="E84" s="114">
        <f>C84*D84</f>
        <v>7.1999999999999993</v>
      </c>
      <c r="F84" s="87"/>
    </row>
    <row r="85" spans="1:6" ht="16.2" thickBot="1" x14ac:dyDescent="0.35">
      <c r="A85" s="40" t="s">
        <v>74</v>
      </c>
      <c r="B85" s="41" t="s">
        <v>75</v>
      </c>
      <c r="C85" s="109">
        <f>B78</f>
        <v>40</v>
      </c>
      <c r="D85" s="115">
        <f>IFERROR(D82+D84,0)</f>
        <v>0.66230769230769226</v>
      </c>
      <c r="E85" s="116">
        <f>C85*D85</f>
        <v>26.492307692307691</v>
      </c>
      <c r="F85" s="87"/>
    </row>
    <row r="86" spans="1:6" ht="16.2" thickBot="1" x14ac:dyDescent="0.35">
      <c r="A86" s="86"/>
      <c r="B86" s="86"/>
      <c r="C86" s="86"/>
      <c r="D86" s="87"/>
      <c r="E86" s="87"/>
      <c r="F86" s="98">
        <f>E85</f>
        <v>26.492307692307691</v>
      </c>
    </row>
    <row r="87" spans="1:6" ht="16.2" thickBot="1" x14ac:dyDescent="0.35">
      <c r="A87" s="86" t="s">
        <v>76</v>
      </c>
      <c r="B87" s="86"/>
      <c r="C87" s="86"/>
      <c r="D87" s="87"/>
      <c r="E87" s="87"/>
      <c r="F87" s="87"/>
    </row>
    <row r="88" spans="1:6" ht="16.2" thickBot="1" x14ac:dyDescent="0.35">
      <c r="A88" s="117" t="s">
        <v>63</v>
      </c>
      <c r="B88" s="118" t="s">
        <v>12</v>
      </c>
      <c r="C88" s="118" t="s">
        <v>11</v>
      </c>
      <c r="D88" s="104" t="s">
        <v>65</v>
      </c>
      <c r="E88" s="104" t="s">
        <v>66</v>
      </c>
      <c r="F88" s="105" t="s">
        <v>67</v>
      </c>
    </row>
    <row r="89" spans="1:6" ht="16.2" thickBot="1" x14ac:dyDescent="0.35">
      <c r="A89" s="106" t="s">
        <v>77</v>
      </c>
      <c r="B89" s="107" t="s">
        <v>75</v>
      </c>
      <c r="C89" s="109">
        <f>B78</f>
        <v>40</v>
      </c>
      <c r="D89" s="91">
        <v>0.1</v>
      </c>
      <c r="E89" s="119">
        <f>C89*D89</f>
        <v>4</v>
      </c>
      <c r="F89" s="87"/>
    </row>
    <row r="90" spans="1:6" ht="16.2" thickBot="1" x14ac:dyDescent="0.35">
      <c r="A90" s="86"/>
      <c r="B90" s="86"/>
      <c r="C90" s="86"/>
      <c r="D90" s="87"/>
      <c r="E90" s="87"/>
      <c r="F90" s="98">
        <f>E89</f>
        <v>4</v>
      </c>
    </row>
    <row r="91" spans="1:6" ht="16.2" thickBot="1" x14ac:dyDescent="0.35">
      <c r="A91" s="86" t="s">
        <v>78</v>
      </c>
      <c r="B91" s="86"/>
      <c r="C91" s="86"/>
      <c r="D91" s="87"/>
      <c r="E91" s="87"/>
      <c r="F91" s="87"/>
    </row>
    <row r="92" spans="1:6" ht="16.2" thickBot="1" x14ac:dyDescent="0.35">
      <c r="A92" s="102" t="s">
        <v>63</v>
      </c>
      <c r="B92" s="103" t="s">
        <v>12</v>
      </c>
      <c r="C92" s="103" t="s">
        <v>11</v>
      </c>
      <c r="D92" s="104" t="s">
        <v>65</v>
      </c>
      <c r="E92" s="104" t="s">
        <v>66</v>
      </c>
      <c r="F92" s="105" t="s">
        <v>67</v>
      </c>
    </row>
    <row r="93" spans="1:6" x14ac:dyDescent="0.3">
      <c r="A93" s="106" t="s">
        <v>79</v>
      </c>
      <c r="B93" s="107" t="s">
        <v>60</v>
      </c>
      <c r="C93" s="120">
        <v>5</v>
      </c>
      <c r="D93" s="91">
        <v>320</v>
      </c>
      <c r="E93" s="119">
        <f>C93*D93</f>
        <v>1600</v>
      </c>
      <c r="F93" s="87"/>
    </row>
    <row r="94" spans="1:6" x14ac:dyDescent="0.3">
      <c r="A94" s="40" t="s">
        <v>80</v>
      </c>
      <c r="B94" s="41" t="s">
        <v>17</v>
      </c>
      <c r="C94" s="121">
        <v>40000</v>
      </c>
      <c r="D94" s="114">
        <f>E93/C94</f>
        <v>0.04</v>
      </c>
      <c r="E94" s="114">
        <f>IFERROR(D94/C94,"-")</f>
        <v>9.9999999999999995E-7</v>
      </c>
      <c r="F94" s="87"/>
    </row>
    <row r="95" spans="1:6" ht="16.2" thickBot="1" x14ac:dyDescent="0.35">
      <c r="A95" s="40" t="s">
        <v>81</v>
      </c>
      <c r="B95" s="41" t="s">
        <v>17</v>
      </c>
      <c r="C95" s="109">
        <f>B78</f>
        <v>40</v>
      </c>
      <c r="D95" s="114">
        <f>D94</f>
        <v>0.04</v>
      </c>
      <c r="E95" s="114">
        <f>IFERROR(C95*D95,0)</f>
        <v>1.6</v>
      </c>
      <c r="F95" s="87"/>
    </row>
    <row r="96" spans="1:6" ht="16.2" thickBot="1" x14ac:dyDescent="0.35">
      <c r="A96" s="86"/>
      <c r="B96" s="86"/>
      <c r="C96" s="86"/>
      <c r="D96" s="86"/>
      <c r="E96" s="86"/>
      <c r="F96" s="122">
        <f>E95</f>
        <v>1.6</v>
      </c>
    </row>
    <row r="97" spans="1:6" x14ac:dyDescent="0.3">
      <c r="A97" s="86"/>
      <c r="B97" s="86"/>
      <c r="C97" s="86"/>
      <c r="D97" s="86"/>
      <c r="E97" s="86"/>
      <c r="F97" s="86"/>
    </row>
    <row r="98" spans="1:6" x14ac:dyDescent="0.3">
      <c r="A98" s="189" t="s">
        <v>121</v>
      </c>
      <c r="B98" s="190"/>
      <c r="C98" s="190"/>
      <c r="D98" s="190"/>
      <c r="E98" s="191"/>
      <c r="F98" s="69">
        <f>SUM(F96+F90+F86+F75+F68)*(B6)</f>
        <v>230.37948717948717</v>
      </c>
    </row>
    <row r="99" spans="1:6" x14ac:dyDescent="0.3">
      <c r="A99" s="86"/>
      <c r="B99" s="86"/>
      <c r="C99" s="86"/>
      <c r="D99" s="123"/>
      <c r="E99" s="123"/>
      <c r="F99" s="123"/>
    </row>
    <row r="100" spans="1:6" x14ac:dyDescent="0.3">
      <c r="A100" s="189" t="s">
        <v>82</v>
      </c>
      <c r="B100" s="190"/>
      <c r="C100" s="190"/>
      <c r="D100" s="190"/>
      <c r="E100" s="191"/>
      <c r="F100" s="69">
        <f>F98</f>
        <v>230.37948717948717</v>
      </c>
    </row>
    <row r="101" spans="1:6" x14ac:dyDescent="0.3">
      <c r="C101" s="124"/>
    </row>
    <row r="102" spans="1:6" x14ac:dyDescent="0.3">
      <c r="A102" s="182" t="s">
        <v>83</v>
      </c>
      <c r="B102" s="182"/>
      <c r="C102" s="182"/>
      <c r="D102" s="182"/>
      <c r="E102" s="182"/>
      <c r="F102" s="125">
        <f>SUM(F100+F57)</f>
        <v>67503.491608391603</v>
      </c>
    </row>
    <row r="103" spans="1:6" ht="16.2" thickBot="1" x14ac:dyDescent="0.35"/>
    <row r="104" spans="1:6" ht="16.2" thickBot="1" x14ac:dyDescent="0.35">
      <c r="A104" s="183" t="s">
        <v>84</v>
      </c>
      <c r="B104" s="184"/>
      <c r="C104" s="184"/>
      <c r="D104" s="184"/>
      <c r="E104" s="184"/>
      <c r="F104" s="185"/>
    </row>
    <row r="105" spans="1:6" ht="16.2" thickBot="1" x14ac:dyDescent="0.35">
      <c r="A105" s="102" t="s">
        <v>63</v>
      </c>
      <c r="B105" s="103" t="s">
        <v>12</v>
      </c>
      <c r="C105" s="103" t="s">
        <v>11</v>
      </c>
      <c r="D105" s="104" t="s">
        <v>65</v>
      </c>
      <c r="E105" s="104" t="s">
        <v>66</v>
      </c>
      <c r="F105" s="105" t="s">
        <v>67</v>
      </c>
    </row>
    <row r="106" spans="1:6" ht="16.2" thickBot="1" x14ac:dyDescent="0.35">
      <c r="A106" s="106" t="s">
        <v>85</v>
      </c>
      <c r="B106" s="107" t="s">
        <v>15</v>
      </c>
      <c r="C106" s="126">
        <f>BDI!F13</f>
        <v>0.24150000000000005</v>
      </c>
      <c r="D106" s="108">
        <f>F102</f>
        <v>67503.491608391603</v>
      </c>
      <c r="E106" s="108">
        <f>C106*D106</f>
        <v>16302.093223426575</v>
      </c>
      <c r="F106" s="87"/>
    </row>
    <row r="107" spans="1:6" ht="16.2" thickBot="1" x14ac:dyDescent="0.35">
      <c r="A107" s="86"/>
      <c r="B107" s="86"/>
      <c r="C107" s="86"/>
      <c r="D107" s="87"/>
      <c r="E107" s="87"/>
      <c r="F107" s="98">
        <f>+E106</f>
        <v>16302.093223426575</v>
      </c>
    </row>
    <row r="109" spans="1:6" ht="21" x14ac:dyDescent="0.3">
      <c r="A109" s="186" t="s">
        <v>86</v>
      </c>
      <c r="B109" s="187"/>
      <c r="C109" s="187"/>
      <c r="D109" s="187"/>
      <c r="E109" s="188"/>
      <c r="F109" s="127">
        <f>F102+F107</f>
        <v>83805.584831818182</v>
      </c>
    </row>
    <row r="110" spans="1:6" x14ac:dyDescent="0.3">
      <c r="F110" s="124"/>
    </row>
  </sheetData>
  <mergeCells count="18">
    <mergeCell ref="A40:E40"/>
    <mergeCell ref="A42:F42"/>
    <mergeCell ref="A51:D51"/>
    <mergeCell ref="A1:F1"/>
    <mergeCell ref="A8:F8"/>
    <mergeCell ref="A9:F9"/>
    <mergeCell ref="A10:F10"/>
    <mergeCell ref="A28:F28"/>
    <mergeCell ref="A33:F33"/>
    <mergeCell ref="A102:E102"/>
    <mergeCell ref="A104:F104"/>
    <mergeCell ref="A109:E109"/>
    <mergeCell ref="A98:E98"/>
    <mergeCell ref="A53:E53"/>
    <mergeCell ref="A55:E55"/>
    <mergeCell ref="A57:E57"/>
    <mergeCell ref="A59:F59"/>
    <mergeCell ref="A100:E10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52774-711C-4FCC-89D3-D9A324CEC9C1}">
  <dimension ref="A1:J110"/>
  <sheetViews>
    <sheetView topLeftCell="A97" workbookViewId="0">
      <selection activeCell="E7" sqref="E7"/>
    </sheetView>
  </sheetViews>
  <sheetFormatPr defaultRowHeight="15.6" x14ac:dyDescent="0.3"/>
  <cols>
    <col min="1" max="1" width="52.109375" style="26" bestFit="1" customWidth="1"/>
    <col min="2" max="2" width="14.5546875" style="26" bestFit="1" customWidth="1"/>
    <col min="3" max="3" width="15.88671875" style="26" bestFit="1" customWidth="1"/>
    <col min="4" max="4" width="18.77734375" style="26" bestFit="1" customWidth="1"/>
    <col min="5" max="5" width="17.21875" style="26" bestFit="1" customWidth="1"/>
    <col min="6" max="6" width="15.33203125" style="26" bestFit="1" customWidth="1"/>
    <col min="7" max="16384" width="8.88671875" style="26"/>
  </cols>
  <sheetData>
    <row r="1" spans="1:6" ht="21.6" thickBot="1" x14ac:dyDescent="0.45">
      <c r="A1" s="198" t="s">
        <v>10</v>
      </c>
      <c r="B1" s="198"/>
      <c r="C1" s="198"/>
      <c r="D1" s="198"/>
      <c r="E1" s="198"/>
      <c r="F1" s="198"/>
    </row>
    <row r="2" spans="1:6" ht="16.8" customHeight="1" thickBot="1" x14ac:dyDescent="0.45">
      <c r="A2" s="27" t="s">
        <v>0</v>
      </c>
      <c r="B2" s="28" t="s">
        <v>11</v>
      </c>
      <c r="C2" s="28" t="s">
        <v>12</v>
      </c>
      <c r="D2" s="25"/>
      <c r="E2" s="25"/>
      <c r="F2" s="25"/>
    </row>
    <row r="3" spans="1:6" x14ac:dyDescent="0.3">
      <c r="A3" s="29" t="s">
        <v>87</v>
      </c>
      <c r="B3" s="30">
        <v>20</v>
      </c>
      <c r="C3" s="30" t="s">
        <v>128</v>
      </c>
    </row>
    <row r="4" spans="1:6" x14ac:dyDescent="0.3">
      <c r="A4" s="29" t="s">
        <v>13</v>
      </c>
      <c r="B4" s="30">
        <v>1</v>
      </c>
      <c r="C4" s="30" t="s">
        <v>14</v>
      </c>
    </row>
    <row r="5" spans="1:6" x14ac:dyDescent="0.3">
      <c r="A5" s="148" t="s">
        <v>16</v>
      </c>
      <c r="B5" s="149">
        <v>40</v>
      </c>
      <c r="C5" s="150" t="s">
        <v>17</v>
      </c>
    </row>
    <row r="6" spans="1:6" x14ac:dyDescent="0.3">
      <c r="A6" s="29" t="s">
        <v>120</v>
      </c>
      <c r="B6" s="31">
        <v>0.5</v>
      </c>
      <c r="C6" s="30" t="s">
        <v>89</v>
      </c>
    </row>
    <row r="8" spans="1:6" ht="21.6" thickBot="1" x14ac:dyDescent="0.45">
      <c r="A8" s="198" t="s">
        <v>18</v>
      </c>
      <c r="B8" s="198"/>
      <c r="C8" s="198"/>
      <c r="D8" s="198"/>
      <c r="E8" s="198"/>
      <c r="F8" s="198"/>
    </row>
    <row r="9" spans="1:6" ht="16.2" thickBot="1" x14ac:dyDescent="0.35">
      <c r="A9" s="183" t="s">
        <v>19</v>
      </c>
      <c r="B9" s="184"/>
      <c r="C9" s="184"/>
      <c r="D9" s="184"/>
      <c r="E9" s="184"/>
      <c r="F9" s="185"/>
    </row>
    <row r="10" spans="1:6" ht="16.2" thickBot="1" x14ac:dyDescent="0.35">
      <c r="A10" s="199" t="s">
        <v>96</v>
      </c>
      <c r="B10" s="199"/>
      <c r="C10" s="199"/>
      <c r="D10" s="199"/>
      <c r="E10" s="199"/>
      <c r="F10" s="199"/>
    </row>
    <row r="11" spans="1:6" ht="16.2" thickBot="1" x14ac:dyDescent="0.35">
      <c r="A11" s="27" t="s">
        <v>0</v>
      </c>
      <c r="B11" s="28" t="s">
        <v>12</v>
      </c>
      <c r="C11" s="28" t="s">
        <v>11</v>
      </c>
      <c r="D11" s="28" t="s">
        <v>20</v>
      </c>
      <c r="E11" s="28" t="s">
        <v>21</v>
      </c>
      <c r="F11" s="33" t="s">
        <v>22</v>
      </c>
    </row>
    <row r="12" spans="1:6" x14ac:dyDescent="0.3">
      <c r="A12" s="34" t="s">
        <v>23</v>
      </c>
      <c r="B12" s="35" t="s">
        <v>24</v>
      </c>
      <c r="C12" s="35">
        <v>1</v>
      </c>
      <c r="D12" s="36">
        <v>1765.86</v>
      </c>
      <c r="E12" s="37">
        <f>D12*C12</f>
        <v>1765.86</v>
      </c>
    </row>
    <row r="13" spans="1:6" x14ac:dyDescent="0.3">
      <c r="A13" s="34" t="s">
        <v>133</v>
      </c>
      <c r="B13" s="35" t="s">
        <v>24</v>
      </c>
      <c r="C13" s="35">
        <v>1</v>
      </c>
      <c r="D13" s="206">
        <v>1621</v>
      </c>
      <c r="E13" s="37" t="s">
        <v>28</v>
      </c>
    </row>
    <row r="14" spans="1:6" x14ac:dyDescent="0.3">
      <c r="A14" s="34" t="s">
        <v>131</v>
      </c>
      <c r="B14" s="35" t="s">
        <v>132</v>
      </c>
      <c r="C14" s="35">
        <v>40</v>
      </c>
      <c r="D14" s="36">
        <f>(D12)*(40/44)</f>
        <v>1605.3272727272727</v>
      </c>
      <c r="E14" s="37">
        <f>D14</f>
        <v>1605.3272727272727</v>
      </c>
    </row>
    <row r="15" spans="1:6" x14ac:dyDescent="0.3">
      <c r="A15" s="29" t="s">
        <v>25</v>
      </c>
      <c r="B15" s="30" t="s">
        <v>15</v>
      </c>
      <c r="C15" s="151">
        <v>0.2</v>
      </c>
      <c r="D15" s="39">
        <f>D13</f>
        <v>1621</v>
      </c>
      <c r="E15" s="39">
        <f>D15*C15</f>
        <v>324.20000000000005</v>
      </c>
    </row>
    <row r="16" spans="1:6" x14ac:dyDescent="0.3">
      <c r="A16" s="29" t="s">
        <v>26</v>
      </c>
      <c r="B16" s="30" t="s">
        <v>15</v>
      </c>
      <c r="C16" s="38">
        <v>0.7</v>
      </c>
      <c r="D16" s="39">
        <f>D13</f>
        <v>1621</v>
      </c>
      <c r="E16" s="39">
        <f>D16*C16</f>
        <v>1134.6999999999998</v>
      </c>
    </row>
    <row r="17" spans="1:7" x14ac:dyDescent="0.3">
      <c r="A17" s="29" t="s">
        <v>27</v>
      </c>
      <c r="B17" s="30" t="s">
        <v>93</v>
      </c>
      <c r="C17" s="30">
        <v>1</v>
      </c>
      <c r="D17" s="30" t="s">
        <v>28</v>
      </c>
      <c r="E17" s="39">
        <f>SUM(E14+E15+E16)</f>
        <v>3064.2272727272725</v>
      </c>
    </row>
    <row r="18" spans="1:7" ht="16.2" thickBot="1" x14ac:dyDescent="0.35">
      <c r="A18" s="29" t="s">
        <v>88</v>
      </c>
      <c r="B18" s="30" t="s">
        <v>3</v>
      </c>
      <c r="C18" s="42">
        <v>20</v>
      </c>
      <c r="D18" s="43">
        <f>E17</f>
        <v>3064.2272727272725</v>
      </c>
      <c r="E18" s="44">
        <f>D18*C18</f>
        <v>61284.545454545449</v>
      </c>
    </row>
    <row r="19" spans="1:7" ht="16.2" thickBot="1" x14ac:dyDescent="0.35">
      <c r="A19" s="45"/>
      <c r="B19" s="46"/>
      <c r="C19" s="46"/>
      <c r="D19" s="46"/>
      <c r="E19" s="46"/>
      <c r="F19" s="47">
        <f>E18</f>
        <v>61284.545454545449</v>
      </c>
    </row>
    <row r="20" spans="1:7" x14ac:dyDescent="0.3">
      <c r="A20" s="45"/>
      <c r="B20" s="46"/>
      <c r="C20" s="46"/>
      <c r="D20" s="46"/>
      <c r="E20" s="46"/>
      <c r="F20" s="46"/>
    </row>
    <row r="21" spans="1:7" ht="16.2" thickBot="1" x14ac:dyDescent="0.35">
      <c r="A21" s="32" t="s">
        <v>97</v>
      </c>
      <c r="B21" s="46"/>
      <c r="C21" s="46"/>
      <c r="D21" s="46"/>
      <c r="E21" s="46"/>
      <c r="F21" s="46"/>
    </row>
    <row r="22" spans="1:7" ht="16.2" thickBot="1" x14ac:dyDescent="0.35">
      <c r="A22" s="27" t="s">
        <v>0</v>
      </c>
      <c r="B22" s="28" t="s">
        <v>12</v>
      </c>
      <c r="C22" s="28" t="s">
        <v>11</v>
      </c>
      <c r="D22" s="28" t="s">
        <v>20</v>
      </c>
      <c r="E22" s="28" t="s">
        <v>21</v>
      </c>
      <c r="F22" s="33" t="s">
        <v>22</v>
      </c>
    </row>
    <row r="23" spans="1:7" x14ac:dyDescent="0.3">
      <c r="A23" s="34" t="s">
        <v>23</v>
      </c>
      <c r="B23" s="35" t="s">
        <v>24</v>
      </c>
      <c r="C23" s="35">
        <v>1</v>
      </c>
      <c r="D23" s="36">
        <v>3500</v>
      </c>
      <c r="E23" s="133">
        <f>D23*C23</f>
        <v>3500</v>
      </c>
    </row>
    <row r="24" spans="1:7" x14ac:dyDescent="0.3">
      <c r="A24" s="29" t="s">
        <v>26</v>
      </c>
      <c r="B24" s="30" t="s">
        <v>15</v>
      </c>
      <c r="C24" s="38">
        <v>0.7</v>
      </c>
      <c r="D24" s="39">
        <f>D23*C24</f>
        <v>2450</v>
      </c>
      <c r="E24" s="39">
        <f>D24*C24</f>
        <v>1715</v>
      </c>
      <c r="F24" s="46"/>
    </row>
    <row r="25" spans="1:7" ht="16.2" thickBot="1" x14ac:dyDescent="0.35">
      <c r="A25" s="29" t="s">
        <v>27</v>
      </c>
      <c r="B25" s="30" t="s">
        <v>93</v>
      </c>
      <c r="C25" s="30">
        <v>1</v>
      </c>
      <c r="D25" s="30" t="s">
        <v>28</v>
      </c>
      <c r="E25" s="39">
        <f>SUM(E23+E24)</f>
        <v>5215</v>
      </c>
      <c r="F25" s="46"/>
    </row>
    <row r="26" spans="1:7" ht="16.2" thickBot="1" x14ac:dyDescent="0.35">
      <c r="A26" s="45"/>
      <c r="B26" s="46"/>
      <c r="C26" s="46"/>
      <c r="D26" s="130" t="s">
        <v>119</v>
      </c>
      <c r="E26" s="132">
        <f>B6</f>
        <v>0.5</v>
      </c>
      <c r="F26" s="85">
        <f>E25*E26</f>
        <v>2607.5</v>
      </c>
      <c r="G26" s="46"/>
    </row>
    <row r="27" spans="1:7" x14ac:dyDescent="0.3">
      <c r="B27" s="48"/>
      <c r="C27" s="48"/>
      <c r="D27" s="48"/>
      <c r="E27" s="48"/>
    </row>
    <row r="28" spans="1:7" ht="16.2" thickBot="1" x14ac:dyDescent="0.35">
      <c r="A28" s="199" t="s">
        <v>90</v>
      </c>
      <c r="B28" s="199"/>
      <c r="C28" s="199"/>
      <c r="D28" s="199"/>
      <c r="E28" s="199"/>
      <c r="F28" s="199"/>
    </row>
    <row r="29" spans="1:7" x14ac:dyDescent="0.3">
      <c r="A29" s="49" t="s">
        <v>0</v>
      </c>
      <c r="B29" s="50" t="s">
        <v>12</v>
      </c>
      <c r="C29" s="50" t="s">
        <v>11</v>
      </c>
      <c r="D29" s="50" t="s">
        <v>20</v>
      </c>
      <c r="E29" s="50" t="s">
        <v>21</v>
      </c>
      <c r="F29" s="51" t="s">
        <v>22</v>
      </c>
    </row>
    <row r="30" spans="1:7" x14ac:dyDescent="0.3">
      <c r="A30" s="29" t="s">
        <v>91</v>
      </c>
      <c r="B30" s="30" t="s">
        <v>92</v>
      </c>
      <c r="C30" s="30">
        <v>1</v>
      </c>
      <c r="D30" s="52">
        <v>27.15</v>
      </c>
      <c r="E30" s="43">
        <f>D30*C30</f>
        <v>27.15</v>
      </c>
    </row>
    <row r="31" spans="1:7" ht="16.2" thickBot="1" x14ac:dyDescent="0.35">
      <c r="A31" s="29" t="s">
        <v>88</v>
      </c>
      <c r="B31" s="30" t="s">
        <v>3</v>
      </c>
      <c r="C31" s="30">
        <v>20</v>
      </c>
      <c r="D31" s="39">
        <f>D30</f>
        <v>27.15</v>
      </c>
      <c r="E31" s="43">
        <f>D31*C31</f>
        <v>543</v>
      </c>
    </row>
    <row r="32" spans="1:7" ht="16.2" thickBot="1" x14ac:dyDescent="0.35">
      <c r="B32" s="48"/>
      <c r="C32" s="48"/>
      <c r="D32" s="48"/>
      <c r="E32" s="48"/>
      <c r="F32" s="53">
        <f>E31</f>
        <v>543</v>
      </c>
    </row>
    <row r="33" spans="1:6" ht="16.2" thickBot="1" x14ac:dyDescent="0.35">
      <c r="A33" s="199" t="s">
        <v>94</v>
      </c>
      <c r="B33" s="199"/>
      <c r="C33" s="199"/>
      <c r="D33" s="199"/>
      <c r="E33" s="199"/>
      <c r="F33" s="199"/>
    </row>
    <row r="34" spans="1:6" ht="16.2" thickBot="1" x14ac:dyDescent="0.35">
      <c r="A34" s="27" t="s">
        <v>0</v>
      </c>
      <c r="B34" s="28" t="s">
        <v>12</v>
      </c>
      <c r="C34" s="28" t="s">
        <v>11</v>
      </c>
      <c r="D34" s="28" t="s">
        <v>20</v>
      </c>
      <c r="E34" s="28" t="s">
        <v>21</v>
      </c>
      <c r="F34" s="33" t="s">
        <v>22</v>
      </c>
    </row>
    <row r="35" spans="1:6" x14ac:dyDescent="0.3">
      <c r="A35" s="34" t="s">
        <v>95</v>
      </c>
      <c r="B35" s="35" t="s">
        <v>92</v>
      </c>
      <c r="C35" s="35">
        <v>1</v>
      </c>
      <c r="D35" s="37">
        <v>13.57</v>
      </c>
      <c r="E35" s="37">
        <f>C35*D35</f>
        <v>13.57</v>
      </c>
      <c r="F35" s="54"/>
    </row>
    <row r="36" spans="1:6" ht="16.2" thickBot="1" x14ac:dyDescent="0.35">
      <c r="A36" s="29" t="s">
        <v>88</v>
      </c>
      <c r="B36" s="30" t="s">
        <v>3</v>
      </c>
      <c r="C36" s="30">
        <v>20</v>
      </c>
      <c r="D36" s="39">
        <f>D35</f>
        <v>13.57</v>
      </c>
      <c r="E36" s="43">
        <f>D36*C36</f>
        <v>271.39999999999998</v>
      </c>
    </row>
    <row r="37" spans="1:6" ht="16.2" thickBot="1" x14ac:dyDescent="0.35">
      <c r="A37" s="26" t="s">
        <v>29</v>
      </c>
      <c r="B37" s="131"/>
      <c r="C37" s="131"/>
      <c r="D37" s="131"/>
      <c r="E37" s="131"/>
      <c r="F37" s="55">
        <f>E36</f>
        <v>271.39999999999998</v>
      </c>
    </row>
    <row r="39" spans="1:6" ht="16.2" thickBot="1" x14ac:dyDescent="0.35">
      <c r="B39" s="48"/>
      <c r="C39" s="48"/>
      <c r="D39" s="48"/>
      <c r="E39" s="48"/>
      <c r="F39" s="56"/>
    </row>
    <row r="40" spans="1:6" ht="16.2" thickBot="1" x14ac:dyDescent="0.35">
      <c r="A40" s="195" t="s">
        <v>30</v>
      </c>
      <c r="B40" s="196"/>
      <c r="C40" s="196"/>
      <c r="D40" s="196"/>
      <c r="E40" s="197"/>
      <c r="F40" s="57">
        <f>SUM(F37+F32+F26+F19)</f>
        <v>64706.44545454545</v>
      </c>
    </row>
    <row r="41" spans="1:6" ht="16.2" thickBot="1" x14ac:dyDescent="0.35"/>
    <row r="42" spans="1:6" ht="16.2" thickBot="1" x14ac:dyDescent="0.35">
      <c r="A42" s="183" t="s">
        <v>31</v>
      </c>
      <c r="B42" s="184"/>
      <c r="C42" s="184"/>
      <c r="D42" s="184"/>
      <c r="E42" s="184"/>
      <c r="F42" s="185"/>
    </row>
    <row r="43" spans="1:6" x14ac:dyDescent="0.3">
      <c r="A43" s="49" t="s">
        <v>0</v>
      </c>
      <c r="B43" s="50" t="s">
        <v>12</v>
      </c>
      <c r="C43" s="50" t="s">
        <v>11</v>
      </c>
      <c r="D43" s="50" t="s">
        <v>20</v>
      </c>
      <c r="E43" s="50" t="s">
        <v>21</v>
      </c>
      <c r="F43" s="51" t="s">
        <v>22</v>
      </c>
    </row>
    <row r="44" spans="1:6" x14ac:dyDescent="0.3">
      <c r="A44" s="58" t="s">
        <v>98</v>
      </c>
      <c r="B44" s="59">
        <v>2</v>
      </c>
      <c r="C44" s="60">
        <v>1</v>
      </c>
      <c r="D44" s="61">
        <v>25</v>
      </c>
      <c r="E44" s="61">
        <f>(D44*B44)</f>
        <v>50</v>
      </c>
    </row>
    <row r="45" spans="1:6" x14ac:dyDescent="0.3">
      <c r="A45" s="58" t="s">
        <v>100</v>
      </c>
      <c r="B45" s="59">
        <v>1</v>
      </c>
      <c r="C45" s="60">
        <v>0.16666666666666666</v>
      </c>
      <c r="D45" s="61">
        <v>20</v>
      </c>
      <c r="E45" s="61">
        <f>D45/6*2</f>
        <v>6.666666666666667</v>
      </c>
    </row>
    <row r="46" spans="1:6" x14ac:dyDescent="0.3">
      <c r="A46" s="58" t="s">
        <v>32</v>
      </c>
      <c r="B46" s="59">
        <v>2</v>
      </c>
      <c r="C46" s="60">
        <v>0.16666666666666666</v>
      </c>
      <c r="D46" s="62">
        <v>50</v>
      </c>
      <c r="E46" s="61">
        <f>D46*B46/6*2</f>
        <v>33.333333333333336</v>
      </c>
    </row>
    <row r="47" spans="1:6" s="134" customFormat="1" x14ac:dyDescent="0.3">
      <c r="A47" s="58" t="s">
        <v>34</v>
      </c>
      <c r="B47" s="59">
        <v>2</v>
      </c>
      <c r="C47" s="63" t="s">
        <v>33</v>
      </c>
      <c r="D47" s="62">
        <v>25</v>
      </c>
      <c r="E47" s="61">
        <f>(D47*B47)/12</f>
        <v>4.166666666666667</v>
      </c>
    </row>
    <row r="48" spans="1:6" x14ac:dyDescent="0.3">
      <c r="A48" s="58" t="s">
        <v>99</v>
      </c>
      <c r="B48" s="59">
        <v>1</v>
      </c>
      <c r="C48" s="60">
        <v>1</v>
      </c>
      <c r="D48" s="62">
        <v>20</v>
      </c>
      <c r="E48" s="61">
        <f>(D48*B48)/3*4</f>
        <v>26.666666666666668</v>
      </c>
    </row>
    <row r="49" spans="1:10" x14ac:dyDescent="0.3">
      <c r="A49" s="58" t="s">
        <v>35</v>
      </c>
      <c r="B49" s="59">
        <v>1</v>
      </c>
      <c r="C49" s="63" t="s">
        <v>33</v>
      </c>
      <c r="D49" s="62">
        <v>50</v>
      </c>
      <c r="E49" s="61">
        <f>(D49*B49)/12</f>
        <v>4.166666666666667</v>
      </c>
      <c r="J49" s="64" t="s">
        <v>36</v>
      </c>
    </row>
    <row r="50" spans="1:10" x14ac:dyDescent="0.3">
      <c r="A50" s="58" t="s">
        <v>37</v>
      </c>
      <c r="B50" s="59">
        <v>1</v>
      </c>
      <c r="C50" s="63" t="s">
        <v>33</v>
      </c>
      <c r="D50" s="62">
        <v>40</v>
      </c>
      <c r="E50" s="61">
        <f>(D50*B50)/12</f>
        <v>3.3333333333333335</v>
      </c>
    </row>
    <row r="51" spans="1:10" x14ac:dyDescent="0.3">
      <c r="A51" s="193" t="s">
        <v>38</v>
      </c>
      <c r="B51" s="193"/>
      <c r="C51" s="193"/>
      <c r="D51" s="194"/>
      <c r="E51" s="65">
        <f>SUM(E44:E50)</f>
        <v>128.33333333333334</v>
      </c>
    </row>
    <row r="52" spans="1:10" ht="16.2" thickBot="1" x14ac:dyDescent="0.35">
      <c r="A52" s="58" t="s">
        <v>39</v>
      </c>
      <c r="B52" s="59" t="s">
        <v>40</v>
      </c>
      <c r="C52" s="59">
        <v>20</v>
      </c>
      <c r="D52" s="66">
        <f>E51</f>
        <v>128.33333333333334</v>
      </c>
      <c r="E52" s="67">
        <f>C52*D52</f>
        <v>2566.666666666667</v>
      </c>
    </row>
    <row r="53" spans="1:10" ht="16.2" thickBot="1" x14ac:dyDescent="0.35">
      <c r="A53" s="192" t="s">
        <v>41</v>
      </c>
      <c r="B53" s="193"/>
      <c r="C53" s="193"/>
      <c r="D53" s="193"/>
      <c r="E53" s="194"/>
      <c r="F53" s="68">
        <f>E52</f>
        <v>2566.666666666667</v>
      </c>
    </row>
    <row r="55" spans="1:10" x14ac:dyDescent="0.3">
      <c r="A55" s="189" t="s">
        <v>42</v>
      </c>
      <c r="B55" s="190"/>
      <c r="C55" s="190"/>
      <c r="D55" s="190"/>
      <c r="E55" s="191"/>
      <c r="F55" s="69">
        <f>F53</f>
        <v>2566.666666666667</v>
      </c>
    </row>
    <row r="57" spans="1:10" x14ac:dyDescent="0.3">
      <c r="A57" s="189" t="s">
        <v>43</v>
      </c>
      <c r="B57" s="190"/>
      <c r="C57" s="190"/>
      <c r="D57" s="190"/>
      <c r="E57" s="191"/>
      <c r="F57" s="70">
        <f>SUM(F55+F40)</f>
        <v>67273.112121212122</v>
      </c>
    </row>
    <row r="58" spans="1:10" ht="16.2" thickBot="1" x14ac:dyDescent="0.35"/>
    <row r="59" spans="1:10" ht="16.2" thickBot="1" x14ac:dyDescent="0.35">
      <c r="A59" s="183" t="s">
        <v>44</v>
      </c>
      <c r="B59" s="184"/>
      <c r="C59" s="184"/>
      <c r="D59" s="184"/>
      <c r="E59" s="184"/>
      <c r="F59" s="185"/>
    </row>
    <row r="60" spans="1:10" ht="16.2" thickBot="1" x14ac:dyDescent="0.35">
      <c r="A60" s="71" t="s">
        <v>45</v>
      </c>
      <c r="B60" s="72"/>
      <c r="C60" s="72"/>
      <c r="D60" s="72"/>
      <c r="E60" s="72"/>
      <c r="F60" s="73"/>
    </row>
    <row r="61" spans="1:10" x14ac:dyDescent="0.3">
      <c r="A61" s="49" t="s">
        <v>0</v>
      </c>
      <c r="B61" s="50" t="s">
        <v>12</v>
      </c>
      <c r="C61" s="50" t="s">
        <v>11</v>
      </c>
      <c r="D61" s="50" t="s">
        <v>20</v>
      </c>
      <c r="E61" s="50" t="s">
        <v>21</v>
      </c>
      <c r="F61" s="51" t="s">
        <v>22</v>
      </c>
    </row>
    <row r="62" spans="1:10" x14ac:dyDescent="0.3">
      <c r="A62" s="74" t="s">
        <v>46</v>
      </c>
      <c r="B62" s="75" t="s">
        <v>47</v>
      </c>
      <c r="C62" s="75">
        <f>B4</f>
        <v>1</v>
      </c>
      <c r="D62" s="76">
        <v>20000</v>
      </c>
      <c r="E62" s="77">
        <f>C62*D62</f>
        <v>20000</v>
      </c>
    </row>
    <row r="63" spans="1:10" x14ac:dyDescent="0.3">
      <c r="A63" s="74" t="s">
        <v>48</v>
      </c>
      <c r="B63" s="75" t="s">
        <v>49</v>
      </c>
      <c r="C63" s="78">
        <v>5</v>
      </c>
      <c r="D63" s="77" t="s">
        <v>28</v>
      </c>
      <c r="E63" s="77" t="s">
        <v>28</v>
      </c>
    </row>
    <row r="64" spans="1:10" x14ac:dyDescent="0.3">
      <c r="A64" s="74" t="s">
        <v>50</v>
      </c>
      <c r="B64" s="75" t="s">
        <v>49</v>
      </c>
      <c r="C64" s="75">
        <v>0</v>
      </c>
      <c r="D64" s="77" t="s">
        <v>28</v>
      </c>
      <c r="E64" s="77" t="s">
        <v>28</v>
      </c>
    </row>
    <row r="65" spans="1:7" x14ac:dyDescent="0.3">
      <c r="A65" s="74" t="s">
        <v>51</v>
      </c>
      <c r="B65" s="75" t="s">
        <v>15</v>
      </c>
      <c r="C65" s="79">
        <v>0.2</v>
      </c>
      <c r="D65" s="80">
        <f>E62</f>
        <v>20000</v>
      </c>
      <c r="E65" s="80">
        <f>D65*C65</f>
        <v>4000</v>
      </c>
    </row>
    <row r="66" spans="1:7" x14ac:dyDescent="0.3">
      <c r="A66" s="74" t="s">
        <v>52</v>
      </c>
      <c r="B66" s="75" t="s">
        <v>53</v>
      </c>
      <c r="C66" s="81">
        <v>60</v>
      </c>
      <c r="D66" s="80">
        <f>D65-E65</f>
        <v>16000</v>
      </c>
      <c r="E66" s="80" t="s">
        <v>28</v>
      </c>
    </row>
    <row r="67" spans="1:7" ht="16.2" thickBot="1" x14ac:dyDescent="0.35">
      <c r="A67" s="82" t="s">
        <v>54</v>
      </c>
      <c r="B67" s="83" t="s">
        <v>24</v>
      </c>
      <c r="C67" s="83">
        <f>C63*12</f>
        <v>60</v>
      </c>
      <c r="D67" s="84">
        <f>D66</f>
        <v>16000</v>
      </c>
      <c r="E67" s="84">
        <f>IFERROR(D67/C67,0)</f>
        <v>266.66666666666669</v>
      </c>
    </row>
    <row r="68" spans="1:7" ht="16.2" thickBot="1" x14ac:dyDescent="0.35">
      <c r="B68" s="46"/>
      <c r="C68" s="46"/>
      <c r="D68" s="46"/>
      <c r="E68" s="46"/>
      <c r="F68" s="85">
        <f>E67</f>
        <v>266.66666666666669</v>
      </c>
    </row>
    <row r="69" spans="1:7" ht="16.2" thickBot="1" x14ac:dyDescent="0.35">
      <c r="A69" s="86" t="s">
        <v>55</v>
      </c>
      <c r="B69" s="86"/>
      <c r="C69" s="86"/>
      <c r="D69" s="87"/>
      <c r="E69" s="87"/>
      <c r="F69" s="87"/>
      <c r="G69" s="87"/>
    </row>
    <row r="70" spans="1:7" x14ac:dyDescent="0.3">
      <c r="A70" s="49" t="s">
        <v>0</v>
      </c>
      <c r="B70" s="50" t="s">
        <v>12</v>
      </c>
      <c r="C70" s="50" t="s">
        <v>11</v>
      </c>
      <c r="D70" s="50" t="s">
        <v>20</v>
      </c>
      <c r="E70" s="50" t="s">
        <v>21</v>
      </c>
      <c r="F70" s="51" t="s">
        <v>22</v>
      </c>
      <c r="G70" s="87"/>
    </row>
    <row r="71" spans="1:7" x14ac:dyDescent="0.3">
      <c r="A71" s="88" t="s">
        <v>56</v>
      </c>
      <c r="B71" s="89" t="s">
        <v>15</v>
      </c>
      <c r="C71" s="90">
        <v>0.03</v>
      </c>
      <c r="D71" s="91">
        <f>D62*C71</f>
        <v>600</v>
      </c>
      <c r="E71" s="92">
        <f>D71/12</f>
        <v>50</v>
      </c>
      <c r="F71" s="93"/>
      <c r="G71" s="87"/>
    </row>
    <row r="72" spans="1:7" x14ac:dyDescent="0.3">
      <c r="A72" s="74" t="s">
        <v>57</v>
      </c>
      <c r="B72" s="75" t="s">
        <v>53</v>
      </c>
      <c r="C72" s="94">
        <v>12</v>
      </c>
      <c r="D72" s="95">
        <v>120</v>
      </c>
      <c r="E72" s="80">
        <f>D72/10</f>
        <v>12</v>
      </c>
      <c r="F72" s="93"/>
      <c r="G72" s="87"/>
    </row>
    <row r="73" spans="1:7" x14ac:dyDescent="0.3">
      <c r="A73" s="74" t="s">
        <v>58</v>
      </c>
      <c r="B73" s="75" t="s">
        <v>53</v>
      </c>
      <c r="C73" s="94">
        <v>12</v>
      </c>
      <c r="D73" s="95">
        <v>1200</v>
      </c>
      <c r="E73" s="80">
        <f>D73/C73</f>
        <v>100</v>
      </c>
      <c r="F73" s="96"/>
      <c r="G73" s="87"/>
    </row>
    <row r="74" spans="1:7" ht="16.2" thickBot="1" x14ac:dyDescent="0.35">
      <c r="A74" s="82" t="s">
        <v>59</v>
      </c>
      <c r="B74" s="83" t="s">
        <v>60</v>
      </c>
      <c r="C74" s="83">
        <v>1</v>
      </c>
      <c r="D74" s="84" t="s">
        <v>28</v>
      </c>
      <c r="E74" s="84">
        <f>SUM(E71:E73)</f>
        <v>162</v>
      </c>
      <c r="F74" s="93"/>
      <c r="G74" s="87"/>
    </row>
    <row r="75" spans="1:7" ht="16.2" thickBot="1" x14ac:dyDescent="0.35">
      <c r="A75" s="97"/>
      <c r="B75" s="97"/>
      <c r="C75" s="97"/>
      <c r="D75" s="97"/>
      <c r="E75" s="97"/>
      <c r="F75" s="98">
        <f>E74</f>
        <v>162</v>
      </c>
      <c r="G75" s="87"/>
    </row>
    <row r="76" spans="1:7" x14ac:dyDescent="0.3">
      <c r="A76" s="86" t="s">
        <v>61</v>
      </c>
      <c r="B76" s="99"/>
      <c r="C76" s="86"/>
      <c r="D76" s="87"/>
      <c r="E76" s="87"/>
      <c r="F76" s="87"/>
    </row>
    <row r="77" spans="1:7" x14ac:dyDescent="0.3">
      <c r="A77" s="86"/>
      <c r="B77" s="99"/>
      <c r="C77" s="86"/>
      <c r="D77" s="87"/>
      <c r="E77" s="87"/>
      <c r="F77" s="87"/>
    </row>
    <row r="78" spans="1:7" x14ac:dyDescent="0.3">
      <c r="A78" s="100" t="s">
        <v>62</v>
      </c>
      <c r="B78" s="101">
        <f>B5</f>
        <v>40</v>
      </c>
      <c r="C78" s="86"/>
      <c r="D78" s="87"/>
      <c r="E78" s="87"/>
      <c r="F78" s="87"/>
    </row>
    <row r="79" spans="1:7" ht="16.2" thickBot="1" x14ac:dyDescent="0.35">
      <c r="A79" s="86"/>
      <c r="B79" s="99"/>
      <c r="C79" s="86"/>
      <c r="D79" s="87"/>
      <c r="E79" s="87"/>
      <c r="F79" s="87"/>
    </row>
    <row r="80" spans="1:7" ht="16.2" thickBot="1" x14ac:dyDescent="0.35">
      <c r="A80" s="102" t="s">
        <v>63</v>
      </c>
      <c r="B80" s="103" t="s">
        <v>12</v>
      </c>
      <c r="C80" s="103" t="s">
        <v>64</v>
      </c>
      <c r="D80" s="104" t="s">
        <v>65</v>
      </c>
      <c r="E80" s="104" t="s">
        <v>66</v>
      </c>
      <c r="F80" s="105" t="s">
        <v>67</v>
      </c>
    </row>
    <row r="81" spans="1:6" x14ac:dyDescent="0.3">
      <c r="A81" s="106" t="s">
        <v>68</v>
      </c>
      <c r="B81" s="107" t="s">
        <v>69</v>
      </c>
      <c r="C81" s="91">
        <v>13</v>
      </c>
      <c r="D81" s="91">
        <v>6.27</v>
      </c>
      <c r="E81" s="108"/>
      <c r="F81" s="87"/>
    </row>
    <row r="82" spans="1:6" x14ac:dyDescent="0.3">
      <c r="A82" s="40" t="s">
        <v>70</v>
      </c>
      <c r="B82" s="41" t="s">
        <v>17</v>
      </c>
      <c r="C82" s="109">
        <f>B78</f>
        <v>40</v>
      </c>
      <c r="D82" s="110">
        <f>IFERROR(+D81/C81,"-")</f>
        <v>0.48230769230769227</v>
      </c>
      <c r="E82" s="111">
        <f>IFERROR(C82*D82,"-")</f>
        <v>19.292307692307691</v>
      </c>
      <c r="F82" s="87"/>
    </row>
    <row r="83" spans="1:6" x14ac:dyDescent="0.3">
      <c r="A83" s="40" t="s">
        <v>71</v>
      </c>
      <c r="B83" s="41" t="s">
        <v>72</v>
      </c>
      <c r="C83" s="112">
        <v>1</v>
      </c>
      <c r="D83" s="95">
        <v>180</v>
      </c>
      <c r="E83" s="111"/>
      <c r="F83" s="87"/>
    </row>
    <row r="84" spans="1:6" x14ac:dyDescent="0.3">
      <c r="A84" s="40" t="s">
        <v>73</v>
      </c>
      <c r="B84" s="41" t="s">
        <v>17</v>
      </c>
      <c r="C84" s="109">
        <f>C82</f>
        <v>40</v>
      </c>
      <c r="D84" s="113">
        <f>+C83*D83/1000</f>
        <v>0.18</v>
      </c>
      <c r="E84" s="114">
        <f>C84*D84</f>
        <v>7.1999999999999993</v>
      </c>
      <c r="F84" s="87"/>
    </row>
    <row r="85" spans="1:6" ht="16.2" thickBot="1" x14ac:dyDescent="0.35">
      <c r="A85" s="40" t="s">
        <v>74</v>
      </c>
      <c r="B85" s="41" t="s">
        <v>75</v>
      </c>
      <c r="C85" s="109">
        <f>B78</f>
        <v>40</v>
      </c>
      <c r="D85" s="115">
        <f>IFERROR(D82+D84,0)</f>
        <v>0.66230769230769226</v>
      </c>
      <c r="E85" s="116">
        <f>C85*D85</f>
        <v>26.492307692307691</v>
      </c>
      <c r="F85" s="87"/>
    </row>
    <row r="86" spans="1:6" ht="16.2" thickBot="1" x14ac:dyDescent="0.35">
      <c r="A86" s="86"/>
      <c r="B86" s="86"/>
      <c r="C86" s="86"/>
      <c r="D86" s="87"/>
      <c r="E86" s="87"/>
      <c r="F86" s="98">
        <f>E85</f>
        <v>26.492307692307691</v>
      </c>
    </row>
    <row r="87" spans="1:6" ht="16.2" thickBot="1" x14ac:dyDescent="0.35">
      <c r="A87" s="86" t="s">
        <v>76</v>
      </c>
      <c r="B87" s="86"/>
      <c r="C87" s="86"/>
      <c r="D87" s="87"/>
      <c r="E87" s="87"/>
      <c r="F87" s="87"/>
    </row>
    <row r="88" spans="1:6" ht="16.2" thickBot="1" x14ac:dyDescent="0.35">
      <c r="A88" s="117" t="s">
        <v>63</v>
      </c>
      <c r="B88" s="118" t="s">
        <v>12</v>
      </c>
      <c r="C88" s="118" t="s">
        <v>11</v>
      </c>
      <c r="D88" s="104" t="s">
        <v>65</v>
      </c>
      <c r="E88" s="104" t="s">
        <v>66</v>
      </c>
      <c r="F88" s="105" t="s">
        <v>67</v>
      </c>
    </row>
    <row r="89" spans="1:6" ht="16.2" thickBot="1" x14ac:dyDescent="0.35">
      <c r="A89" s="106" t="s">
        <v>77</v>
      </c>
      <c r="B89" s="107" t="s">
        <v>75</v>
      </c>
      <c r="C89" s="109">
        <f>B78</f>
        <v>40</v>
      </c>
      <c r="D89" s="91">
        <v>0.1</v>
      </c>
      <c r="E89" s="119">
        <f>C89*D89</f>
        <v>4</v>
      </c>
      <c r="F89" s="87"/>
    </row>
    <row r="90" spans="1:6" ht="16.2" thickBot="1" x14ac:dyDescent="0.35">
      <c r="A90" s="86"/>
      <c r="B90" s="86"/>
      <c r="C90" s="86"/>
      <c r="D90" s="87"/>
      <c r="E90" s="87"/>
      <c r="F90" s="98">
        <f>E89</f>
        <v>4</v>
      </c>
    </row>
    <row r="91" spans="1:6" ht="16.2" thickBot="1" x14ac:dyDescent="0.35">
      <c r="A91" s="86" t="s">
        <v>78</v>
      </c>
      <c r="B91" s="86"/>
      <c r="C91" s="86"/>
      <c r="D91" s="87"/>
      <c r="E91" s="87"/>
      <c r="F91" s="87"/>
    </row>
    <row r="92" spans="1:6" ht="16.2" thickBot="1" x14ac:dyDescent="0.35">
      <c r="A92" s="102" t="s">
        <v>63</v>
      </c>
      <c r="B92" s="103" t="s">
        <v>12</v>
      </c>
      <c r="C92" s="103" t="s">
        <v>11</v>
      </c>
      <c r="D92" s="104" t="s">
        <v>65</v>
      </c>
      <c r="E92" s="104" t="s">
        <v>66</v>
      </c>
      <c r="F92" s="105" t="s">
        <v>67</v>
      </c>
    </row>
    <row r="93" spans="1:6" x14ac:dyDescent="0.3">
      <c r="A93" s="106" t="s">
        <v>79</v>
      </c>
      <c r="B93" s="107" t="s">
        <v>60</v>
      </c>
      <c r="C93" s="120">
        <v>5</v>
      </c>
      <c r="D93" s="91">
        <v>320</v>
      </c>
      <c r="E93" s="119">
        <f>C93*D93</f>
        <v>1600</v>
      </c>
      <c r="F93" s="87"/>
    </row>
    <row r="94" spans="1:6" x14ac:dyDescent="0.3">
      <c r="A94" s="40" t="s">
        <v>80</v>
      </c>
      <c r="B94" s="41" t="s">
        <v>17</v>
      </c>
      <c r="C94" s="121">
        <v>40000</v>
      </c>
      <c r="D94" s="114">
        <f>E93/C94</f>
        <v>0.04</v>
      </c>
      <c r="E94" s="114">
        <f>IFERROR(D94/C94,"-")</f>
        <v>9.9999999999999995E-7</v>
      </c>
      <c r="F94" s="87"/>
    </row>
    <row r="95" spans="1:6" ht="16.2" thickBot="1" x14ac:dyDescent="0.35">
      <c r="A95" s="40" t="s">
        <v>81</v>
      </c>
      <c r="B95" s="41" t="s">
        <v>17</v>
      </c>
      <c r="C95" s="109">
        <f>B78</f>
        <v>40</v>
      </c>
      <c r="D95" s="114">
        <f>D94</f>
        <v>0.04</v>
      </c>
      <c r="E95" s="114">
        <f>IFERROR(C95*D95,0)</f>
        <v>1.6</v>
      </c>
      <c r="F95" s="87"/>
    </row>
    <row r="96" spans="1:6" ht="16.2" thickBot="1" x14ac:dyDescent="0.35">
      <c r="A96" s="86"/>
      <c r="B96" s="86"/>
      <c r="C96" s="86"/>
      <c r="D96" s="86"/>
      <c r="E96" s="86"/>
      <c r="F96" s="122">
        <f>E95</f>
        <v>1.6</v>
      </c>
    </row>
    <row r="97" spans="1:6" x14ac:dyDescent="0.3">
      <c r="A97" s="86"/>
      <c r="B97" s="86"/>
      <c r="C97" s="86"/>
      <c r="D97" s="86"/>
      <c r="E97" s="86"/>
      <c r="F97" s="86"/>
    </row>
    <row r="98" spans="1:6" x14ac:dyDescent="0.3">
      <c r="A98" s="189" t="s">
        <v>121</v>
      </c>
      <c r="B98" s="190"/>
      <c r="C98" s="190"/>
      <c r="D98" s="190"/>
      <c r="E98" s="191"/>
      <c r="F98" s="69">
        <f>SUM(F96+F90+F86+F75+F68)*(B6)</f>
        <v>230.37948717948717</v>
      </c>
    </row>
    <row r="99" spans="1:6" x14ac:dyDescent="0.3">
      <c r="A99" s="86"/>
      <c r="B99" s="86"/>
      <c r="C99" s="86"/>
      <c r="D99" s="123"/>
      <c r="E99" s="123"/>
      <c r="F99" s="123"/>
    </row>
    <row r="100" spans="1:6" x14ac:dyDescent="0.3">
      <c r="A100" s="189" t="s">
        <v>82</v>
      </c>
      <c r="B100" s="190"/>
      <c r="C100" s="190"/>
      <c r="D100" s="190"/>
      <c r="E100" s="191"/>
      <c r="F100" s="69">
        <f>F98</f>
        <v>230.37948717948717</v>
      </c>
    </row>
    <row r="101" spans="1:6" x14ac:dyDescent="0.3">
      <c r="C101" s="124"/>
    </row>
    <row r="102" spans="1:6" x14ac:dyDescent="0.3">
      <c r="A102" s="182" t="s">
        <v>83</v>
      </c>
      <c r="B102" s="182"/>
      <c r="C102" s="182"/>
      <c r="D102" s="182"/>
      <c r="E102" s="182"/>
      <c r="F102" s="125">
        <f>SUM(F100+F57)</f>
        <v>67503.491608391603</v>
      </c>
    </row>
    <row r="103" spans="1:6" ht="16.2" thickBot="1" x14ac:dyDescent="0.35"/>
    <row r="104" spans="1:6" ht="16.2" thickBot="1" x14ac:dyDescent="0.35">
      <c r="A104" s="183" t="s">
        <v>84</v>
      </c>
      <c r="B104" s="184"/>
      <c r="C104" s="184"/>
      <c r="D104" s="184"/>
      <c r="E104" s="184"/>
      <c r="F104" s="185"/>
    </row>
    <row r="105" spans="1:6" ht="16.2" thickBot="1" x14ac:dyDescent="0.35">
      <c r="A105" s="102" t="s">
        <v>63</v>
      </c>
      <c r="B105" s="103" t="s">
        <v>12</v>
      </c>
      <c r="C105" s="103" t="s">
        <v>11</v>
      </c>
      <c r="D105" s="104" t="s">
        <v>65</v>
      </c>
      <c r="E105" s="104" t="s">
        <v>66</v>
      </c>
      <c r="F105" s="105" t="s">
        <v>67</v>
      </c>
    </row>
    <row r="106" spans="1:6" ht="16.2" thickBot="1" x14ac:dyDescent="0.35">
      <c r="A106" s="106" t="s">
        <v>85</v>
      </c>
      <c r="B106" s="107" t="s">
        <v>15</v>
      </c>
      <c r="C106" s="126">
        <f>BDI!F13</f>
        <v>0.24150000000000005</v>
      </c>
      <c r="D106" s="108">
        <f>F102</f>
        <v>67503.491608391603</v>
      </c>
      <c r="E106" s="108">
        <f>C106*D106</f>
        <v>16302.093223426575</v>
      </c>
      <c r="F106" s="87"/>
    </row>
    <row r="107" spans="1:6" ht="16.2" thickBot="1" x14ac:dyDescent="0.35">
      <c r="A107" s="86"/>
      <c r="B107" s="86"/>
      <c r="C107" s="86"/>
      <c r="D107" s="87"/>
      <c r="E107" s="87"/>
      <c r="F107" s="98">
        <f>+E106</f>
        <v>16302.093223426575</v>
      </c>
    </row>
    <row r="109" spans="1:6" ht="21" x14ac:dyDescent="0.3">
      <c r="A109" s="186" t="s">
        <v>86</v>
      </c>
      <c r="B109" s="187"/>
      <c r="C109" s="187"/>
      <c r="D109" s="187"/>
      <c r="E109" s="188"/>
      <c r="F109" s="127">
        <f>F102+F107</f>
        <v>83805.584831818182</v>
      </c>
    </row>
    <row r="110" spans="1:6" x14ac:dyDescent="0.3">
      <c r="F110" s="124"/>
    </row>
  </sheetData>
  <mergeCells count="18">
    <mergeCell ref="A109:E109"/>
    <mergeCell ref="A28:F28"/>
    <mergeCell ref="A33:F33"/>
    <mergeCell ref="A40:E40"/>
    <mergeCell ref="A42:F42"/>
    <mergeCell ref="A1:F1"/>
    <mergeCell ref="A8:F8"/>
    <mergeCell ref="A9:F9"/>
    <mergeCell ref="A10:F10"/>
    <mergeCell ref="A53:E53"/>
    <mergeCell ref="A55:E55"/>
    <mergeCell ref="A51:D51"/>
    <mergeCell ref="A57:E57"/>
    <mergeCell ref="A59:F59"/>
    <mergeCell ref="A102:E102"/>
    <mergeCell ref="A104:F104"/>
    <mergeCell ref="A98:E98"/>
    <mergeCell ref="A100:E100"/>
  </mergeCells>
  <pageMargins left="0.511811024" right="0.511811024" top="0.78740157499999996" bottom="0.78740157499999996" header="0.31496062000000002" footer="0.31496062000000002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819D0-2072-4331-926B-63E861B74872}">
  <dimension ref="B1:F13"/>
  <sheetViews>
    <sheetView workbookViewId="0">
      <selection activeCell="G12" sqref="G12"/>
    </sheetView>
  </sheetViews>
  <sheetFormatPr defaultRowHeight="14.4" x14ac:dyDescent="0.3"/>
  <cols>
    <col min="3" max="3" width="20.88671875" bestFit="1" customWidth="1"/>
  </cols>
  <sheetData>
    <row r="1" spans="2:6" ht="15" thickBot="1" x14ac:dyDescent="0.35"/>
    <row r="2" spans="2:6" ht="15.6" x14ac:dyDescent="0.3">
      <c r="B2" s="200" t="s">
        <v>101</v>
      </c>
      <c r="C2" s="201"/>
      <c r="D2" s="201"/>
      <c r="E2" s="201"/>
      <c r="F2" s="202"/>
    </row>
    <row r="3" spans="2:6" x14ac:dyDescent="0.3">
      <c r="B3" s="162"/>
      <c r="C3" s="203"/>
      <c r="D3" s="135" t="s">
        <v>102</v>
      </c>
      <c r="E3" s="135" t="s">
        <v>103</v>
      </c>
      <c r="F3" s="136" t="s">
        <v>104</v>
      </c>
    </row>
    <row r="4" spans="2:6" x14ac:dyDescent="0.3">
      <c r="B4" s="2" t="s">
        <v>105</v>
      </c>
      <c r="C4" s="3" t="s">
        <v>106</v>
      </c>
      <c r="D4" s="137">
        <v>0.02</v>
      </c>
      <c r="E4" s="137">
        <v>0.05</v>
      </c>
      <c r="F4" s="138">
        <f>(E4+D4)/2</f>
        <v>3.5000000000000003E-2</v>
      </c>
    </row>
    <row r="5" spans="2:6" x14ac:dyDescent="0.3">
      <c r="B5" s="2" t="s">
        <v>107</v>
      </c>
      <c r="C5" s="3" t="s">
        <v>108</v>
      </c>
      <c r="D5" s="137">
        <v>0.01</v>
      </c>
      <c r="E5" s="137">
        <v>0.01</v>
      </c>
      <c r="F5" s="139">
        <f t="shared" ref="F4:F7" si="0">(E5+D5)/2</f>
        <v>0.01</v>
      </c>
    </row>
    <row r="6" spans="2:6" x14ac:dyDescent="0.3">
      <c r="B6" s="2" t="s">
        <v>109</v>
      </c>
      <c r="C6" s="3" t="s">
        <v>110</v>
      </c>
      <c r="D6" s="129">
        <v>0.01</v>
      </c>
      <c r="E6" s="129">
        <v>0.01</v>
      </c>
      <c r="F6" s="139">
        <f t="shared" si="0"/>
        <v>0.01</v>
      </c>
    </row>
    <row r="7" spans="2:6" x14ac:dyDescent="0.3">
      <c r="B7" s="2"/>
      <c r="C7" s="3" t="s">
        <v>111</v>
      </c>
      <c r="D7" s="137">
        <v>0.03</v>
      </c>
      <c r="E7" s="137">
        <v>0.03</v>
      </c>
      <c r="F7" s="139">
        <f t="shared" si="0"/>
        <v>0.03</v>
      </c>
    </row>
    <row r="8" spans="2:6" x14ac:dyDescent="0.3">
      <c r="B8" s="2" t="s">
        <v>112</v>
      </c>
      <c r="C8" s="3" t="s">
        <v>1</v>
      </c>
      <c r="D8" s="137">
        <v>0.06</v>
      </c>
      <c r="E8" s="137">
        <v>0.1</v>
      </c>
      <c r="F8" s="140">
        <v>7.0000000000000007E-2</v>
      </c>
    </row>
    <row r="9" spans="2:6" x14ac:dyDescent="0.3">
      <c r="B9" s="2" t="s">
        <v>113</v>
      </c>
      <c r="C9" s="3" t="s">
        <v>114</v>
      </c>
      <c r="D9" s="129">
        <v>0.02</v>
      </c>
      <c r="E9" s="129">
        <v>0.05</v>
      </c>
      <c r="F9" s="140">
        <f t="shared" ref="F9:F11" si="1">(E9+D9)/2</f>
        <v>3.5000000000000003E-2</v>
      </c>
    </row>
    <row r="10" spans="2:6" x14ac:dyDescent="0.3">
      <c r="B10" s="2"/>
      <c r="C10" s="3" t="s">
        <v>115</v>
      </c>
      <c r="D10" s="129">
        <v>0.03</v>
      </c>
      <c r="E10" s="129">
        <v>0.03</v>
      </c>
      <c r="F10" s="141">
        <f>(E10+D10)/2</f>
        <v>0.03</v>
      </c>
    </row>
    <row r="11" spans="2:6" x14ac:dyDescent="0.3">
      <c r="B11" s="2"/>
      <c r="C11" s="3" t="s">
        <v>116</v>
      </c>
      <c r="D11" s="142">
        <v>6.4999999999999997E-3</v>
      </c>
      <c r="E11" s="142">
        <v>6.4999999999999997E-3</v>
      </c>
      <c r="F11" s="143">
        <f t="shared" si="1"/>
        <v>6.4999999999999997E-3</v>
      </c>
    </row>
    <row r="12" spans="2:6" x14ac:dyDescent="0.3">
      <c r="B12" s="6"/>
      <c r="C12" s="144" t="s">
        <v>117</v>
      </c>
      <c r="D12" s="145">
        <v>1.4999999999999999E-2</v>
      </c>
      <c r="E12" s="145">
        <v>1.4999999999999999E-2</v>
      </c>
      <c r="F12" s="146">
        <v>1.4999999999999999E-2</v>
      </c>
    </row>
    <row r="13" spans="2:6" ht="15" thickBot="1" x14ac:dyDescent="0.35">
      <c r="B13" s="204" t="s">
        <v>118</v>
      </c>
      <c r="C13" s="205"/>
      <c r="D13" s="147">
        <f>SUM(D4:D12)</f>
        <v>0.20150000000000001</v>
      </c>
      <c r="E13" s="147">
        <f t="shared" ref="E13" si="2">SUM(E4:E12)</f>
        <v>0.30150000000000005</v>
      </c>
      <c r="F13" s="207">
        <f>SUM(F4:F12)</f>
        <v>0.24150000000000005</v>
      </c>
    </row>
  </sheetData>
  <mergeCells count="3">
    <mergeCell ref="B2:F2"/>
    <mergeCell ref="B3:C3"/>
    <mergeCell ref="B13:C1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Orçamento Base </vt:lpstr>
      <vt:lpstr>Custo da Operação Geral </vt:lpstr>
      <vt:lpstr>Custo da Operação Braçal</vt:lpstr>
      <vt:lpstr>BDI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Elisa Schuster</cp:lastModifiedBy>
  <dcterms:created xsi:type="dcterms:W3CDTF">2026-03-16T19:20:36Z</dcterms:created>
  <dcterms:modified xsi:type="dcterms:W3CDTF">2026-03-17T18:19:12Z</dcterms:modified>
</cp:coreProperties>
</file>