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\Desktop\CONSULTORIA AMBIENTAL - CLIENTES\PREFEITURA JOIA\PLANILHA CUSTOS residuos fossa\"/>
    </mc:Choice>
  </mc:AlternateContent>
  <xr:revisionPtr revIDLastSave="0" documentId="13_ncr:1_{1540EA5E-3678-4FD5-A6A4-4E75F144B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de Custo" sheetId="2" r:id="rId1"/>
    <sheet name="Ciclo de Trabalho" sheetId="4" r:id="rId2"/>
    <sheet name="Fator Utilização" sheetId="5" r:id="rId3"/>
    <sheet name="BDI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2" l="1"/>
  <c r="B9" i="3"/>
  <c r="C112" i="2" s="1"/>
  <c r="E35" i="2"/>
  <c r="A24" i="2"/>
  <c r="E10" i="2"/>
  <c r="A7" i="2"/>
  <c r="A14" i="2"/>
  <c r="A20" i="2"/>
  <c r="B27" i="2"/>
  <c r="E40" i="2" s="1"/>
  <c r="B2" i="5"/>
  <c r="B8" i="4"/>
  <c r="E73" i="2"/>
  <c r="E72" i="2"/>
  <c r="E71" i="2"/>
  <c r="E59" i="2"/>
  <c r="C60" i="2"/>
  <c r="E104" i="2"/>
  <c r="F105" i="2" s="1"/>
  <c r="F107" i="2" s="1"/>
  <c r="E13" i="2" s="1"/>
  <c r="D91" i="2"/>
  <c r="D89" i="2"/>
  <c r="D87" i="2"/>
  <c r="D85" i="2"/>
  <c r="D83" i="2"/>
  <c r="C83" i="2"/>
  <c r="C85" i="2" s="1"/>
  <c r="E58" i="2"/>
  <c r="E57" i="2"/>
  <c r="E56" i="2"/>
  <c r="E55" i="2"/>
  <c r="E54" i="2"/>
  <c r="E53" i="2"/>
  <c r="E52" i="2"/>
  <c r="E51" i="2"/>
  <c r="E50" i="2"/>
  <c r="C37" i="2"/>
  <c r="D35" i="2"/>
  <c r="E32" i="2"/>
  <c r="E21" i="2"/>
  <c r="A13" i="2"/>
  <c r="A12" i="2"/>
  <c r="A11" i="2"/>
  <c r="A10" i="2"/>
  <c r="A9" i="2"/>
  <c r="A8" i="2"/>
  <c r="A6" i="2"/>
  <c r="E61" i="2" l="1"/>
  <c r="E75" i="2"/>
  <c r="E74" i="2"/>
  <c r="E85" i="2"/>
  <c r="D92" i="2"/>
  <c r="D60" i="2"/>
  <c r="E60" i="2" s="1"/>
  <c r="E36" i="2"/>
  <c r="C91" i="2"/>
  <c r="E91" i="2" s="1"/>
  <c r="C89" i="2"/>
  <c r="E89" i="2" s="1"/>
  <c r="E83" i="2"/>
  <c r="C87" i="2"/>
  <c r="E87" i="2" s="1"/>
  <c r="F61" i="2" l="1"/>
  <c r="F63" i="2" s="1"/>
  <c r="E8" i="2" s="1"/>
  <c r="F93" i="2"/>
  <c r="D37" i="2"/>
  <c r="E37" i="2" s="1"/>
  <c r="E38" i="2" s="1"/>
  <c r="D39" i="2" s="1"/>
  <c r="E39" i="2" s="1"/>
  <c r="F40" i="2" s="1"/>
  <c r="E7" i="2" s="1"/>
  <c r="E12" i="2" l="1"/>
  <c r="F43" i="2"/>
  <c r="F75" i="2"/>
  <c r="E11" i="2" s="1"/>
  <c r="F96" i="2" l="1"/>
  <c r="E6" i="2"/>
  <c r="E9" i="2" l="1"/>
  <c r="F99" i="2"/>
  <c r="D112" i="2" l="1"/>
  <c r="E112" i="2" s="1"/>
  <c r="F113" i="2" s="1"/>
  <c r="F119" i="2" l="1"/>
  <c r="F118" i="2" s="1"/>
  <c r="E14" i="2"/>
  <c r="E15" i="2" s="1"/>
  <c r="F14" i="2" l="1"/>
  <c r="F7" i="2"/>
  <c r="F6" i="2"/>
  <c r="F13" i="2"/>
  <c r="F8" i="2"/>
  <c r="F12" i="2"/>
  <c r="F11" i="2"/>
  <c r="F9" i="2"/>
  <c r="F10" i="2"/>
  <c r="F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  <author>Elisa</author>
  </authors>
  <commentList>
    <comment ref="C50" authorId="0" shapeId="0" xr:uid="{D2443FD9-ADD0-4B41-85D0-3BB201D1346A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52" authorId="0" shapeId="0" xr:uid="{3544044C-81B1-4F55-B2D7-27D49F6E4151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54" authorId="0" shapeId="0" xr:uid="{8AF087A5-D1E3-418B-895C-EE2E1E09989A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55" authorId="0" shapeId="0" xr:uid="{598E8966-F525-43A2-977C-DC4F45596AA9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56" authorId="0" shapeId="0" xr:uid="{911E2904-7B5A-47EB-B04C-A8B507E3739C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57" authorId="0" shapeId="0" xr:uid="{97DA4A5D-632F-4B3C-BFB1-2ADEAAF41CE1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58" authorId="0" shapeId="0" xr:uid="{34C31893-9B5F-4096-8502-1FD8BEAA5046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59" authorId="0" shapeId="0" xr:uid="{F987EC30-FE9F-4A8D-94DD-F3E163041106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A71" authorId="1" shapeId="0" xr:uid="{D015445A-09A7-45FD-BA9A-4D23E59864D3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Depreciação prevista nessa planilha em 5 anos </t>
        </r>
      </text>
    </comment>
    <comment ref="B79" authorId="1" shapeId="0" xr:uid="{94EE50A1-0E2D-4388-990B-041D2D026CBC}">
      <text>
        <r>
          <rPr>
            <b/>
            <sz val="9"/>
            <color indexed="81"/>
            <rFont val="Segoe UI"/>
            <family val="2"/>
          </rPr>
          <t>Elisa:</t>
        </r>
        <r>
          <rPr>
            <sz val="9"/>
            <color indexed="81"/>
            <rFont val="Segoe UI"/>
            <family val="2"/>
          </rPr>
          <t xml:space="preserve">
Considerando saída do município até Corsan em Ijuí (20 transportes mensais)</t>
        </r>
      </text>
    </comment>
    <comment ref="C104" authorId="1" shapeId="0" xr:uid="{2547F779-3EC9-47F6-ACAB-A2A6A311491D}">
      <text>
        <r>
          <rPr>
            <b/>
            <sz val="9"/>
            <color indexed="81"/>
            <rFont val="Segoe UI"/>
            <family val="2"/>
          </rPr>
          <t>Elisa:</t>
        </r>
        <r>
          <rPr>
            <sz val="9"/>
            <color indexed="81"/>
            <rFont val="Segoe UI"/>
            <family val="2"/>
          </rPr>
          <t xml:space="preserve">
Considerando volume 8m³ por coleta e previsão maxima 20 coletas mensais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</author>
  </authors>
  <commentList>
    <comment ref="B2" authorId="0" shapeId="0" xr:uid="{49B35A76-0EC1-45E0-B4BA-D43468275D5B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Corresponde aos encargos indiretos incidentes sobre a mão de obra além dos obrigatórios diretos. Inclui: gestão de pessoal, afastamentos legais, banco de horas, passivos trabalhistas, uniformes, exames médicos, etc.</t>
        </r>
      </text>
    </comment>
    <comment ref="B3" authorId="0" shapeId="0" xr:uid="{B63D738B-F0DA-45EB-BF40-BB4903D6B2B8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Soma do PIS (0,65%) + COFINS (3%) + IRPJ (2,4%) + CSLL (2,6%), considerando regime de lucro presumido (modelo mais comum em prestadores de serviços ambientais).</t>
        </r>
      </text>
    </comment>
    <comment ref="B4" authorId="0" shapeId="0" xr:uid="{2CA74AE9-5AD0-444B-9A2A-64029EF5AD21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ISS aplicado no município de Jóia
</t>
        </r>
      </text>
    </comment>
    <comment ref="B5" authorId="0" shapeId="0" xr:uid="{24D08818-C615-4EFB-B4DF-5692AFE1931A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Inclui custos fixos administrativos como: contabilidade, atendimento, telefonia, sistemas, emissão de documentos fiscais, acompanhamento de contratos e apoio remoto.</t>
        </r>
      </text>
    </comment>
    <comment ref="B6" authorId="0" shapeId="0" xr:uid="{A547E2A7-0D24-4B78-896F-E84668EBABDB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Cobre custos com seguros de veículos e responsabilidade civil, bem como riscos relacionados à operação, acidentes, atrasos e manutenções emergenciais.</t>
        </r>
      </text>
    </comment>
    <comment ref="B7" authorId="0" shapeId="0" xr:uid="{018FB4FD-4CAE-4635-B622-33AE361C8EB8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Margem de remuneração líquida da empresa, considerada adequada e aceita em licitações públicas para esse tipo de serviço.</t>
        </r>
      </text>
    </comment>
    <comment ref="B8" authorId="0" shapeId="0" xr:uid="{46A20537-8235-4BF2-93A8-C078511D6E8E}">
      <text>
        <r>
          <rPr>
            <b/>
            <sz val="9"/>
            <color indexed="81"/>
            <rFont val="Segoe UI"/>
            <charset val="1"/>
          </rPr>
          <t>Elisa:</t>
        </r>
        <r>
          <rPr>
            <sz val="9"/>
            <color indexed="81"/>
            <rFont val="Segoe UI"/>
            <charset val="1"/>
          </rPr>
          <t xml:space="preserve">
Reservado para variações nos preços de insumos, aumento inesperado de combustíveis, substituições de pessoal, despesas jurídicas, variações cambiais (em peças, por exemplo), etc.</t>
        </r>
      </text>
    </comment>
  </commentList>
</comments>
</file>

<file path=xl/sharedStrings.xml><?xml version="1.0" encoding="utf-8"?>
<sst xmlns="http://schemas.openxmlformats.org/spreadsheetml/2006/main" count="176" uniqueCount="119">
  <si>
    <t>Descrição</t>
  </si>
  <si>
    <t xml:space="preserve"> </t>
  </si>
  <si>
    <t>Orçamento Sintético</t>
  </si>
  <si>
    <t>Descrição do Item</t>
  </si>
  <si>
    <t>Custo (R$/mês)</t>
  </si>
  <si>
    <t>%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</si>
  <si>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</si>
  <si>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</si>
  <si>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</si>
  <si>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</si>
  <si>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</si>
  <si>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</si>
  <si>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</si>
  <si>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</si>
  <si>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Discriminação</t>
  </si>
  <si>
    <t>Unidade</t>
  </si>
  <si>
    <t>Custo unitário</t>
  </si>
  <si>
    <t>Subtotal</t>
  </si>
  <si>
    <r>
      <t xml:space="preserve">Total </t>
    </r>
    <r>
      <rPr>
        <b/>
        <u/>
        <sz val="11"/>
        <color rgb="FF000000"/>
        <rFont val="Arial"/>
        <family val="2"/>
      </rPr>
      <t>(R$)</t>
    </r>
  </si>
  <si>
    <t>mês</t>
  </si>
  <si>
    <t>Adicional de Insalubridade</t>
  </si>
  <si>
    <t>Soma</t>
  </si>
  <si>
    <t>Encargos Sociais</t>
  </si>
  <si>
    <t>Total do Efetivo</t>
  </si>
  <si>
    <t>homem</t>
  </si>
  <si>
    <t>Fator de utilização</t>
  </si>
  <si>
    <t>Piso da categoria (2)</t>
  </si>
  <si>
    <t>Salário mínimo nacional (1)</t>
  </si>
  <si>
    <t>Base de cálculo da Insalubridade</t>
  </si>
  <si>
    <t>Total por Motorista</t>
  </si>
  <si>
    <t>unidade</t>
  </si>
  <si>
    <t>Custo Mensal com Mão-de-obra (R$/mês)</t>
  </si>
  <si>
    <t>2. Uniformes e Equipamentos de Proteção Individual</t>
  </si>
  <si>
    <t>2.1. Uniformes e EPIs para Coletor</t>
  </si>
  <si>
    <t>Durabilidade (meses)</t>
  </si>
  <si>
    <t>par</t>
  </si>
  <si>
    <t>Meia de algodão com cano alto</t>
  </si>
  <si>
    <t>Luva de proteção</t>
  </si>
  <si>
    <t>Custo Mensal com Uniformes e EPIs (R$/mês)</t>
  </si>
  <si>
    <t>3. Veículos e Equipamentos</t>
  </si>
  <si>
    <t>3.1.1. Depreciação</t>
  </si>
  <si>
    <t>Total da frota</t>
  </si>
  <si>
    <t>-</t>
  </si>
  <si>
    <t>Quilometragem mensal</t>
  </si>
  <si>
    <t>Consumo</t>
  </si>
  <si>
    <t>Custo de óleo diesel / km rodado</t>
  </si>
  <si>
    <t>km/l</t>
  </si>
  <si>
    <t>Custo mensal com óleo diesel</t>
  </si>
  <si>
    <t>km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</si>
  <si>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</si>
  <si>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</si>
  <si>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</si>
  <si>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</si>
  <si>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</si>
  <si>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</si>
  <si>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</si>
  <si>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</si>
  <si>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</si>
  <si>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</si>
  <si>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</si>
  <si>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</si>
  <si>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Custo Mensal com Veículos e Equipamentos (R$/mês)</t>
  </si>
  <si>
    <t>CUSTO TOTAL MENSAL COM DESPESAS OPERACIONAIS (R$/mês)</t>
  </si>
  <si>
    <r>
      <t xml:space="preserve">Total </t>
    </r>
    <r>
      <rPr>
        <b/>
        <u/>
        <sz val="9"/>
        <color rgb="FF000000"/>
        <rFont val="Arial"/>
        <family val="2"/>
      </rPr>
      <t>(R$)</t>
    </r>
  </si>
  <si>
    <t>Benefícios e despesas indiretas</t>
  </si>
  <si>
    <t>CUSTO MENSAL COM BDI (R$/mês)</t>
  </si>
  <si>
    <t>PREÇO MENSAL TOTAL (R$/mês)</t>
  </si>
  <si>
    <t>Planilha de Composição de Custos de Coleta, Transporte e Destino Final de Resíduos de Fossas Sépticas</t>
  </si>
  <si>
    <t>Bota cano longo tipo D</t>
  </si>
  <si>
    <t>Respirador PFF2 ou peça semifacial com filtro</t>
  </si>
  <si>
    <t>Óculos de proteção ou protetor facial</t>
  </si>
  <si>
    <t>Proteção auditiva (protetores auriculares)</t>
  </si>
  <si>
    <t>Avental impermeável ou macacão</t>
  </si>
  <si>
    <t>Creme de proteção para pele</t>
  </si>
  <si>
    <t>Colete ou faixa refletiva</t>
  </si>
  <si>
    <t xml:space="preserve">Capacete </t>
  </si>
  <si>
    <t>3.1. Veículo Coletor 8 m³</t>
  </si>
  <si>
    <t>mensal</t>
  </si>
  <si>
    <t>Manutenção preventiva (filtros, óleo, revisão)</t>
  </si>
  <si>
    <t>IPVA, licenciamento, taxas ambientais (proporcional)</t>
  </si>
  <si>
    <t xml:space="preserve">Destinação Final: tratamento de resíduos de fossa </t>
  </si>
  <si>
    <t>m³</t>
  </si>
  <si>
    <t>Componente do BDI</t>
  </si>
  <si>
    <t>Percentual Estimado (%)</t>
  </si>
  <si>
    <t>1. Encargos Sociais e Trabalhistas (sobre mão de obra)</t>
  </si>
  <si>
    <t>2. Tributos Federais (PIS, COFINS, IRPJ, CSLL)</t>
  </si>
  <si>
    <t>3. ISS (Imposto Sobre Serviço)</t>
  </si>
  <si>
    <t>4. Despesas Administrativas</t>
  </si>
  <si>
    <t>5. Seguros, garantias e riscos operacionais</t>
  </si>
  <si>
    <t>6. Lucro</t>
  </si>
  <si>
    <t>7. Outros encargos e imprevistos</t>
  </si>
  <si>
    <t>TOTAL DO BDI</t>
  </si>
  <si>
    <t>Etapa</t>
  </si>
  <si>
    <t>Tempo Estimado</t>
  </si>
  <si>
    <t>Deslocamento (Joia → Ijuí)</t>
  </si>
  <si>
    <t>37 minutos</t>
  </si>
  <si>
    <t>Tempo de Coleta/Sucção (8 m³)</t>
  </si>
  <si>
    <t>1h20 minutos</t>
  </si>
  <si>
    <t>Tempo de Descarga na Corsan</t>
  </si>
  <si>
    <t>20 minutos</t>
  </si>
  <si>
    <t>Deslocamento (Ijuí → Joia)</t>
  </si>
  <si>
    <t>Total estimado por ciclo</t>
  </si>
  <si>
    <t>2h54 minutos</t>
  </si>
  <si>
    <t xml:space="preserve">Total de coletas </t>
  </si>
  <si>
    <t>Horas totais</t>
  </si>
  <si>
    <t>Valor</t>
  </si>
  <si>
    <t>Horas utilizadas para 20 coletas/mês (2,9h por coleta)</t>
  </si>
  <si>
    <t>Jornada mensal disponível (8h/dia x 22 dias úteis)</t>
  </si>
  <si>
    <t>176 horas</t>
  </si>
  <si>
    <t>Fator de Utilização (%)</t>
  </si>
  <si>
    <t>32,95%</t>
  </si>
  <si>
    <t>PREÇO POR CARGA (R$/CARGA)</t>
  </si>
  <si>
    <t>1.1. Motorista Turno do Dia</t>
  </si>
  <si>
    <t>3.1.2. Consumos</t>
  </si>
  <si>
    <t xml:space="preserve">4. Destinação Final dos Resíduos de Fossas </t>
  </si>
  <si>
    <t>5. Benefícios e Despesas Indiretas</t>
  </si>
  <si>
    <t>CUSTO TOTAL MENSAL COM DESTINAÇÃO FINAL (R$/mês)</t>
  </si>
  <si>
    <t>Responsável pela Elaboração</t>
  </si>
  <si>
    <t>Custo de veículo / depreciação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</si>
</sst>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* #,##0_);_(* \(#,##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FF"/>
      <name val="Arial"/>
      <family val="2"/>
    </font>
    <font>
      <i/>
      <sz val="11"/>
      <color rgb="FF000000"/>
      <name val="Arial"/>
      <family val="2"/>
    </font>
    <font>
      <b/>
      <u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9" xfId="0" applyNumberFormat="1" applyFont="1" applyBorder="1" applyAlignment="1">
      <alignment vertical="center"/>
    </xf>
    <xf numFmtId="43" fontId="2" fillId="0" borderId="13" xfId="0" applyNumberFormat="1" applyFont="1" applyBorder="1" applyAlignment="1">
      <alignment horizontal="center" vertical="center"/>
    </xf>
    <xf numFmtId="43" fontId="3" fillId="0" borderId="14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43" fontId="2" fillId="0" borderId="16" xfId="0" applyNumberFormat="1" applyFont="1" applyBorder="1" applyAlignment="1">
      <alignment horizontal="center" vertical="center"/>
    </xf>
    <xf numFmtId="43" fontId="2" fillId="0" borderId="17" xfId="0" applyNumberFormat="1" applyFont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43" fontId="2" fillId="0" borderId="18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0" fontId="2" fillId="0" borderId="19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3" fontId="3" fillId="0" borderId="17" xfId="0" applyNumberFormat="1" applyFont="1" applyBorder="1" applyAlignment="1">
      <alignment vertical="center"/>
    </xf>
    <xf numFmtId="43" fontId="3" fillId="0" borderId="18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0" fontId="3" fillId="0" borderId="19" xfId="0" applyNumberFormat="1" applyFont="1" applyBorder="1" applyAlignment="1">
      <alignment vertical="center"/>
    </xf>
    <xf numFmtId="43" fontId="2" fillId="0" borderId="17" xfId="0" applyNumberFormat="1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centerContinuous" vertical="center"/>
    </xf>
    <xf numFmtId="43" fontId="3" fillId="0" borderId="17" xfId="0" applyNumberFormat="1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centerContinuous" vertical="center"/>
    </xf>
    <xf numFmtId="165" fontId="2" fillId="0" borderId="20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Continuous" vertical="center"/>
    </xf>
    <xf numFmtId="43" fontId="2" fillId="0" borderId="11" xfId="0" applyNumberFormat="1" applyFont="1" applyBorder="1" applyAlignment="1">
      <alignment vertical="center"/>
    </xf>
    <xf numFmtId="166" fontId="2" fillId="0" borderId="21" xfId="0" applyNumberFormat="1" applyFont="1" applyBorder="1" applyAlignment="1">
      <alignment vertical="center"/>
    </xf>
    <xf numFmtId="9" fontId="2" fillId="0" borderId="22" xfId="0" applyNumberFormat="1" applyFont="1" applyBorder="1" applyAlignment="1">
      <alignment vertical="center"/>
    </xf>
    <xf numFmtId="43" fontId="2" fillId="0" borderId="24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43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" fontId="2" fillId="0" borderId="28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3" fontId="3" fillId="0" borderId="31" xfId="0" applyNumberFormat="1" applyFont="1" applyBorder="1" applyAlignment="1">
      <alignment vertical="center"/>
    </xf>
    <xf numFmtId="43" fontId="3" fillId="0" borderId="32" xfId="0" applyNumberFormat="1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43" fontId="2" fillId="5" borderId="35" xfId="0" applyNumberFormat="1" applyFont="1" applyFill="1" applyBorder="1" applyAlignment="1">
      <alignment horizontal="center" vertical="center"/>
    </xf>
    <xf numFmtId="43" fontId="2" fillId="5" borderId="22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4" fontId="2" fillId="4" borderId="0" xfId="0" applyNumberFormat="1" applyFont="1" applyFill="1"/>
    <xf numFmtId="43" fontId="3" fillId="0" borderId="3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2" fillId="0" borderId="20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10" fontId="3" fillId="0" borderId="1" xfId="0" applyNumberFormat="1" applyFont="1" applyBorder="1" applyAlignment="1">
      <alignment vertical="center"/>
    </xf>
    <xf numFmtId="43" fontId="2" fillId="5" borderId="12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/>
    <xf numFmtId="43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3" fontId="2" fillId="0" borderId="18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43" fontId="2" fillId="5" borderId="37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5" borderId="35" xfId="0" applyFont="1" applyFill="1" applyBorder="1" applyAlignment="1">
      <alignment horizontal="center" vertical="center" wrapText="1"/>
    </xf>
    <xf numFmtId="13" fontId="3" fillId="4" borderId="1" xfId="0" applyNumberFormat="1" applyFont="1" applyFill="1" applyBorder="1" applyAlignment="1">
      <alignment horizontal="center" vertical="center"/>
    </xf>
    <xf numFmtId="43" fontId="3" fillId="4" borderId="3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0" xfId="0" applyNumberFormat="1" applyFont="1"/>
    <xf numFmtId="0" fontId="3" fillId="0" borderId="0" xfId="0" applyFont="1"/>
    <xf numFmtId="1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3" fontId="3" fillId="0" borderId="11" xfId="0" applyNumberFormat="1" applyFont="1" applyBorder="1" applyAlignment="1">
      <alignment vertical="center"/>
    </xf>
    <xf numFmtId="43" fontId="3" fillId="0" borderId="12" xfId="0" applyNumberFormat="1" applyFont="1" applyBorder="1" applyAlignment="1">
      <alignment vertical="center"/>
    </xf>
    <xf numFmtId="43" fontId="2" fillId="5" borderId="3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5" borderId="29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4" fontId="3" fillId="4" borderId="36" xfId="0" applyNumberFormat="1" applyFont="1" applyFill="1" applyBorder="1" applyAlignment="1">
      <alignment horizontal="center" vertical="center"/>
    </xf>
    <xf numFmtId="168" fontId="3" fillId="4" borderId="36" xfId="0" applyNumberFormat="1" applyFont="1" applyFill="1" applyBorder="1" applyAlignment="1">
      <alignment horizontal="center" vertical="center"/>
    </xf>
    <xf numFmtId="168" fontId="3" fillId="0" borderId="36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1" fillId="7" borderId="34" xfId="0" applyFont="1" applyFill="1" applyBorder="1"/>
    <xf numFmtId="0" fontId="1" fillId="7" borderId="2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/>
    </xf>
    <xf numFmtId="0" fontId="0" fillId="7" borderId="29" xfId="0" applyFill="1" applyBorder="1"/>
    <xf numFmtId="0" fontId="0" fillId="7" borderId="24" xfId="0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26" xfId="0" applyFont="1" applyBorder="1" applyAlignment="1">
      <alignment vertical="center"/>
    </xf>
    <xf numFmtId="43" fontId="3" fillId="0" borderId="27" xfId="0" applyNumberFormat="1" applyFont="1" applyBorder="1" applyAlignment="1">
      <alignment vertical="center"/>
    </xf>
    <xf numFmtId="43" fontId="3" fillId="0" borderId="38" xfId="0" applyNumberFormat="1" applyFont="1" applyBorder="1" applyAlignment="1">
      <alignment vertical="center"/>
    </xf>
    <xf numFmtId="43" fontId="2" fillId="5" borderId="39" xfId="0" applyNumberFormat="1" applyFont="1" applyFill="1" applyBorder="1" applyAlignment="1">
      <alignment vertical="center"/>
    </xf>
    <xf numFmtId="43" fontId="2" fillId="9" borderId="37" xfId="0" applyNumberFormat="1" applyFont="1" applyFill="1" applyBorder="1" applyAlignment="1">
      <alignment vertical="center"/>
    </xf>
    <xf numFmtId="43" fontId="2" fillId="0" borderId="8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centerContinuous" vertical="center"/>
    </xf>
    <xf numFmtId="165" fontId="2" fillId="0" borderId="42" xfId="0" applyNumberFormat="1" applyFont="1" applyBorder="1" applyAlignment="1">
      <alignment vertical="center"/>
    </xf>
    <xf numFmtId="10" fontId="2" fillId="0" borderId="9" xfId="0" applyNumberFormat="1" applyFont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4" fontId="3" fillId="10" borderId="1" xfId="0" applyNumberFormat="1" applyFont="1" applyFill="1" applyBorder="1" applyAlignment="1">
      <alignment vertical="center"/>
    </xf>
    <xf numFmtId="10" fontId="2" fillId="8" borderId="4" xfId="0" applyNumberFormat="1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2" fillId="3" borderId="10" xfId="0" applyNumberFormat="1" applyFont="1" applyFill="1" applyBorder="1" applyAlignment="1">
      <alignment horizontal="center" vertical="center"/>
    </xf>
    <xf numFmtId="43" fontId="2" fillId="3" borderId="11" xfId="0" applyNumberFormat="1" applyFont="1" applyFill="1" applyBorder="1" applyAlignment="1">
      <alignment horizontal="center" vertical="center"/>
    </xf>
    <xf numFmtId="43" fontId="2" fillId="3" borderId="12" xfId="0" applyNumberFormat="1" applyFont="1" applyFill="1" applyBorder="1" applyAlignment="1">
      <alignment horizontal="center" vertical="center"/>
    </xf>
    <xf numFmtId="43" fontId="2" fillId="0" borderId="17" xfId="0" applyNumberFormat="1" applyFont="1" applyBorder="1" applyAlignment="1">
      <alignment horizontal="left" vertical="center"/>
    </xf>
    <xf numFmtId="43" fontId="2" fillId="0" borderId="18" xfId="0" applyNumberFormat="1" applyFont="1" applyBorder="1" applyAlignment="1">
      <alignment horizontal="left" vertical="center"/>
    </xf>
    <xf numFmtId="43" fontId="2" fillId="0" borderId="10" xfId="0" applyNumberFormat="1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43" fontId="2" fillId="0" borderId="23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5</xdr:col>
      <xdr:colOff>168201</xdr:colOff>
      <xdr:row>14</xdr:row>
      <xdr:rowOff>53408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C4B46C-2226-CBDF-7C4A-20D74FB29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4040"/>
          <a:ext cx="6477561" cy="784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4</xdr:row>
      <xdr:rowOff>99060</xdr:rowOff>
    </xdr:from>
    <xdr:to>
      <xdr:col>3</xdr:col>
      <xdr:colOff>236614</xdr:colOff>
      <xdr:row>8</xdr:row>
      <xdr:rowOff>99123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D57B87-D9B9-DC9A-AE61-391C6D081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830580"/>
          <a:ext cx="4541914" cy="7315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/Desktop/CONSULTORIA%20AMBIENTAL%20-%20CLIENTES/PREFEITURA%20DE%20LAGOA%20DOS%20TRES%20CANTOS/PROJETO%20BASICO%20COLETA%20RSU%20DOMICILIAR/09%20PLANILHA%20CUSTOS/PLANILHA%20DE%20CUSTO%20-%20Lagoa%20dos%20Tres%20Ca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leta Domiciliar Seletiva"/>
      <sheetName val="2.Encargos Sociais"/>
      <sheetName val="4.BDI"/>
      <sheetName val="3.CAGED"/>
      <sheetName val="5. Depreciação"/>
      <sheetName val="6.Remuneração de capital"/>
      <sheetName val="7. Dimensionamento"/>
      <sheetName val="8. Roteiros"/>
      <sheetName val="9. Ton Quantitativo"/>
    </sheetNames>
    <sheetDataSet>
      <sheetData sheetId="0"/>
      <sheetData sheetId="1">
        <row r="36">
          <cell r="C36">
            <v>0.70595951999999995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355A-8195-4144-A767-D495B7566153}">
  <sheetPr>
    <pageSetUpPr fitToPage="1"/>
  </sheetPr>
  <dimension ref="A1:J150"/>
  <sheetViews>
    <sheetView tabSelected="1" topLeftCell="A49" workbookViewId="0">
      <selection activeCell="A122" sqref="A122"/>
    </sheetView>
  </sheetViews>
  <sheetFormatPr defaultColWidth="9.109375" defaultRowHeight="13.8" x14ac:dyDescent="0.3"/>
  <cols>
    <col min="1" max="1" width="47.44140625" style="2" customWidth="1"/>
    <col min="2" max="2" width="16" style="2" bestFit="1" customWidth="1"/>
    <col min="3" max="3" width="13.109375" style="2" bestFit="1" customWidth="1"/>
    <col min="4" max="4" width="18.6640625" style="1" bestFit="1" customWidth="1"/>
    <col min="5" max="5" width="17.33203125" style="1" bestFit="1" customWidth="1"/>
    <col min="6" max="6" width="13.33203125" style="1" customWidth="1"/>
    <col min="7" max="7" width="28.109375" style="1" customWidth="1"/>
    <col min="8" max="8" width="9.109375" style="2"/>
    <col min="9" max="9" width="14.5546875" style="2" customWidth="1"/>
    <col min="10" max="10" width="13.44140625" style="2" customWidth="1"/>
    <col min="11" max="16384" width="9.109375" style="2"/>
  </cols>
  <sheetData>
    <row r="1" spans="1:7" ht="13.2" customHeight="1" x14ac:dyDescent="0.3">
      <c r="A1" s="141" t="s">
        <v>1</v>
      </c>
      <c r="B1" s="142"/>
      <c r="C1" s="142"/>
      <c r="D1" s="142"/>
      <c r="E1" s="142"/>
      <c r="F1" s="143"/>
    </row>
    <row r="2" spans="1:7" x14ac:dyDescent="0.3">
      <c r="A2" s="144" t="s">
        <v>67</v>
      </c>
      <c r="B2" s="145"/>
      <c r="C2" s="145"/>
      <c r="D2" s="145"/>
      <c r="E2" s="145"/>
      <c r="F2" s="146"/>
    </row>
    <row r="3" spans="1:7" ht="14.4" thickBot="1" x14ac:dyDescent="0.35">
      <c r="A3" s="3"/>
      <c r="B3" s="4"/>
      <c r="C3" s="4"/>
      <c r="F3" s="5"/>
    </row>
    <row r="4" spans="1:7" ht="14.4" thickBot="1" x14ac:dyDescent="0.35">
      <c r="A4" s="147" t="s">
        <v>2</v>
      </c>
      <c r="B4" s="148"/>
      <c r="C4" s="148"/>
      <c r="D4" s="148"/>
      <c r="E4" s="148"/>
      <c r="F4" s="149"/>
    </row>
    <row r="5" spans="1:7" x14ac:dyDescent="0.3">
      <c r="A5" s="6" t="s">
        <v>3</v>
      </c>
      <c r="B5" s="7"/>
      <c r="C5" s="7"/>
      <c r="D5" s="8"/>
      <c r="E5" s="9" t="s">
        <v>4</v>
      </c>
      <c r="F5" s="10" t="s">
        <v>5</v>
      </c>
    </row>
    <row r="6" spans="1:7" s="17" customFormat="1" x14ac:dyDescent="0.3">
      <c r="A6" s="11" t="str">
        <f>A29</f>
        <v>1. Mão-de-obra</v>
      </c>
      <c r="B6" s="12"/>
      <c r="C6" s="13"/>
      <c r="D6" s="13"/>
      <c r="E6" s="14">
        <f>+F43</f>
        <v>1849.786774973217</v>
      </c>
      <c r="F6" s="15">
        <f t="shared" ref="F6:F14" si="0">IFERROR(E6/$E$15,0)</f>
        <v>0.11476785284428484</v>
      </c>
      <c r="G6" s="16"/>
    </row>
    <row r="7" spans="1:7" s="17" customFormat="1" x14ac:dyDescent="0.3">
      <c r="A7" s="18" t="str">
        <f>A30</f>
        <v>1.1. Motorista Turno do Dia</v>
      </c>
      <c r="B7" s="12"/>
      <c r="C7" s="13"/>
      <c r="D7" s="13"/>
      <c r="E7" s="20">
        <f>F40</f>
        <v>1849.786774973217</v>
      </c>
      <c r="F7" s="15">
        <f t="shared" si="0"/>
        <v>0.11476785284428484</v>
      </c>
      <c r="G7" s="16"/>
    </row>
    <row r="8" spans="1:7" s="17" customFormat="1" x14ac:dyDescent="0.3">
      <c r="A8" s="150" t="str">
        <f>A45</f>
        <v>2. Uniformes e Equipamentos de Proteção Individual</v>
      </c>
      <c r="B8" s="151"/>
      <c r="C8" s="151"/>
      <c r="D8" s="13"/>
      <c r="E8" s="14">
        <f>F63</f>
        <v>41.753141666666671</v>
      </c>
      <c r="F8" s="15">
        <f t="shared" si="0"/>
        <v>2.590524747727186E-3</v>
      </c>
      <c r="G8" s="16"/>
    </row>
    <row r="9" spans="1:7" s="17" customFormat="1" x14ac:dyDescent="0.3">
      <c r="A9" s="22" t="str">
        <f>A65</f>
        <v>3. Veículos e Equipamentos</v>
      </c>
      <c r="B9" s="23"/>
      <c r="C9" s="13"/>
      <c r="D9" s="13"/>
      <c r="E9" s="14">
        <f>F96</f>
        <v>3698.6855563636364</v>
      </c>
      <c r="F9" s="15">
        <f t="shared" si="0"/>
        <v>0.22948061116728968</v>
      </c>
      <c r="G9" s="16"/>
    </row>
    <row r="10" spans="1:7" x14ac:dyDescent="0.3">
      <c r="A10" s="24" t="str">
        <f>A67</f>
        <v>3.1. Veículo Coletor 8 m³</v>
      </c>
      <c r="B10" s="25"/>
      <c r="C10" s="19"/>
      <c r="D10" s="19"/>
      <c r="E10" s="20">
        <f>D71</f>
        <v>3000</v>
      </c>
      <c r="F10" s="21">
        <f t="shared" si="0"/>
        <v>0.18613148455331543</v>
      </c>
    </row>
    <row r="11" spans="1:7" x14ac:dyDescent="0.3">
      <c r="A11" s="24" t="str">
        <f>A69</f>
        <v>3.1.1. Depreciação</v>
      </c>
      <c r="B11" s="25"/>
      <c r="C11" s="19"/>
      <c r="D11" s="19"/>
      <c r="E11" s="20">
        <f>F75</f>
        <v>1350.95</v>
      </c>
      <c r="F11" s="21">
        <f t="shared" si="0"/>
        <v>8.3818109685767167E-2</v>
      </c>
    </row>
    <row r="12" spans="1:7" x14ac:dyDescent="0.3">
      <c r="A12" s="24" t="str">
        <f>A77</f>
        <v>3.1.2. Consumos</v>
      </c>
      <c r="B12" s="25"/>
      <c r="C12" s="19"/>
      <c r="D12" s="19"/>
      <c r="E12" s="20">
        <f>F93</f>
        <v>2347.7355563636361</v>
      </c>
      <c r="F12" s="21">
        <f t="shared" si="0"/>
        <v>0.14566250148152252</v>
      </c>
    </row>
    <row r="13" spans="1:7" s="17" customFormat="1" x14ac:dyDescent="0.3">
      <c r="A13" s="22" t="str">
        <f>A101</f>
        <v xml:space="preserve">4. Destinação Final dos Resíduos de Fossas </v>
      </c>
      <c r="B13" s="23"/>
      <c r="C13" s="13"/>
      <c r="D13" s="13"/>
      <c r="E13" s="26">
        <f>F107</f>
        <v>8590.4</v>
      </c>
      <c r="F13" s="15">
        <f t="shared" si="0"/>
        <v>0.53298130163560031</v>
      </c>
      <c r="G13" s="16"/>
    </row>
    <row r="14" spans="1:7" s="17" customFormat="1" ht="14.4" thickBot="1" x14ac:dyDescent="0.35">
      <c r="A14" s="128" t="str">
        <f>A109</f>
        <v>5. Benefícios e Despesas Indiretas</v>
      </c>
      <c r="B14" s="129"/>
      <c r="C14" s="16"/>
      <c r="D14" s="16"/>
      <c r="E14" s="130">
        <f>F113</f>
        <v>1937.0131263957196</v>
      </c>
      <c r="F14" s="131">
        <f t="shared" si="0"/>
        <v>0.12017970960509804</v>
      </c>
      <c r="G14" s="16"/>
    </row>
    <row r="15" spans="1:7" ht="14.4" thickBot="1" x14ac:dyDescent="0.35">
      <c r="A15" s="27" t="s">
        <v>6</v>
      </c>
      <c r="B15" s="28"/>
      <c r="C15" s="29"/>
      <c r="D15" s="29"/>
      <c r="E15" s="30">
        <f>E6+E8+E9+E13+E14</f>
        <v>16117.638599399239</v>
      </c>
      <c r="F15" s="31">
        <f>F6+F8+F9+F13+F14</f>
        <v>1</v>
      </c>
    </row>
    <row r="17" spans="1:7" ht="14.4" thickBot="1" x14ac:dyDescent="0.35"/>
    <row r="18" spans="1:7" ht="14.4" thickBot="1" x14ac:dyDescent="0.35">
      <c r="A18" s="147" t="s">
        <v>7</v>
      </c>
      <c r="B18" s="148"/>
      <c r="C18" s="148"/>
      <c r="D18" s="148"/>
      <c r="E18" s="149"/>
    </row>
    <row r="19" spans="1:7" ht="14.4" thickBot="1" x14ac:dyDescent="0.35">
      <c r="A19" s="152" t="s">
        <v>8</v>
      </c>
      <c r="B19" s="153"/>
      <c r="C19" s="153"/>
      <c r="D19" s="154"/>
      <c r="E19" s="32" t="s">
        <v>9</v>
      </c>
    </row>
    <row r="20" spans="1:7" x14ac:dyDescent="0.3">
      <c r="A20" s="18" t="str">
        <f>+A30</f>
        <v>1.1. Motorista Turno do Dia</v>
      </c>
      <c r="B20" s="19"/>
      <c r="C20" s="19"/>
      <c r="D20" s="33"/>
      <c r="E20" s="34">
        <v>1</v>
      </c>
    </row>
    <row r="21" spans="1:7" ht="14.4" thickBot="1" x14ac:dyDescent="0.35">
      <c r="A21" s="35" t="s">
        <v>10</v>
      </c>
      <c r="B21" s="36"/>
      <c r="C21" s="36"/>
      <c r="D21" s="37"/>
      <c r="E21" s="38">
        <f>SUM(E20:E20)</f>
        <v>1</v>
      </c>
    </row>
    <row r="22" spans="1:7" ht="14.4" thickBot="1" x14ac:dyDescent="0.35">
      <c r="A22" s="39"/>
      <c r="B22" s="40"/>
      <c r="C22" s="1"/>
      <c r="E22" s="5"/>
    </row>
    <row r="23" spans="1:7" x14ac:dyDescent="0.3">
      <c r="A23" s="136" t="s">
        <v>11</v>
      </c>
      <c r="B23" s="137"/>
      <c r="C23" s="137"/>
      <c r="D23" s="137"/>
      <c r="E23" s="32" t="s">
        <v>9</v>
      </c>
      <c r="F23" s="2"/>
    </row>
    <row r="24" spans="1:7" ht="14.4" thickBot="1" x14ac:dyDescent="0.35">
      <c r="A24" s="41" t="str">
        <f>+A67</f>
        <v>3.1. Veículo Coletor 8 m³</v>
      </c>
      <c r="B24" s="42"/>
      <c r="C24" s="42"/>
      <c r="D24" s="43"/>
      <c r="E24" s="44">
        <v>1</v>
      </c>
      <c r="F24" s="2"/>
    </row>
    <row r="25" spans="1:7" x14ac:dyDescent="0.3">
      <c r="A25" s="1"/>
      <c r="B25" s="1"/>
      <c r="C25" s="1"/>
      <c r="D25" s="2"/>
      <c r="E25" s="45"/>
      <c r="F25" s="2"/>
    </row>
    <row r="26" spans="1:7" ht="14.4" thickBot="1" x14ac:dyDescent="0.35">
      <c r="A26" s="1"/>
      <c r="B26" s="1"/>
      <c r="C26" s="1"/>
      <c r="D26" s="2"/>
      <c r="E26" s="46"/>
      <c r="F26" s="2"/>
    </row>
    <row r="27" spans="1:7" s="17" customFormat="1" ht="14.4" thickBot="1" x14ac:dyDescent="0.35">
      <c r="A27" s="47" t="s">
        <v>12</v>
      </c>
      <c r="B27" s="134" t="str">
        <f>'Fator Utilização'!B4</f>
        <v>32,95%</v>
      </c>
      <c r="C27" s="16"/>
      <c r="E27" s="48"/>
      <c r="G27" s="16"/>
    </row>
    <row r="28" spans="1:7" x14ac:dyDescent="0.3">
      <c r="A28" s="16"/>
      <c r="B28" s="16"/>
      <c r="C28" s="16"/>
      <c r="D28" s="2"/>
      <c r="E28" s="46"/>
      <c r="F28" s="2"/>
    </row>
    <row r="29" spans="1:7" x14ac:dyDescent="0.3">
      <c r="A29" s="17" t="s">
        <v>13</v>
      </c>
    </row>
    <row r="30" spans="1:7" ht="14.4" thickBot="1" x14ac:dyDescent="0.35">
      <c r="A30" s="2" t="s">
        <v>112</v>
      </c>
    </row>
    <row r="31" spans="1:7" ht="14.4" thickBot="1" x14ac:dyDescent="0.35">
      <c r="A31" s="49" t="s">
        <v>14</v>
      </c>
      <c r="B31" s="50" t="s">
        <v>15</v>
      </c>
      <c r="C31" s="50" t="s">
        <v>9</v>
      </c>
      <c r="D31" s="51" t="s">
        <v>16</v>
      </c>
      <c r="E31" s="51" t="s">
        <v>17</v>
      </c>
      <c r="F31" s="52" t="s">
        <v>18</v>
      </c>
    </row>
    <row r="32" spans="1:7" x14ac:dyDescent="0.25">
      <c r="A32" s="53" t="s">
        <v>26</v>
      </c>
      <c r="B32" s="54" t="s">
        <v>19</v>
      </c>
      <c r="C32" s="54">
        <v>1</v>
      </c>
      <c r="D32" s="55">
        <v>2350.5500000000002</v>
      </c>
      <c r="E32" s="56">
        <f>C32*D32</f>
        <v>2350.5500000000002</v>
      </c>
    </row>
    <row r="33" spans="1:7" x14ac:dyDescent="0.25">
      <c r="A33" s="53" t="s">
        <v>27</v>
      </c>
      <c r="B33" s="54" t="s">
        <v>19</v>
      </c>
      <c r="C33" s="54">
        <v>1</v>
      </c>
      <c r="D33" s="67">
        <v>1518</v>
      </c>
      <c r="E33" s="56"/>
    </row>
    <row r="34" spans="1:7" x14ac:dyDescent="0.3">
      <c r="A34" s="57" t="s">
        <v>28</v>
      </c>
      <c r="B34" s="58"/>
      <c r="C34" s="63">
        <v>2</v>
      </c>
      <c r="D34" s="59"/>
      <c r="E34" s="59"/>
    </row>
    <row r="35" spans="1:7" x14ac:dyDescent="0.3">
      <c r="A35" s="57" t="s">
        <v>20</v>
      </c>
      <c r="B35" s="58" t="s">
        <v>5</v>
      </c>
      <c r="C35" s="132">
        <v>40</v>
      </c>
      <c r="D35" s="68">
        <f>D32</f>
        <v>2350.5500000000002</v>
      </c>
      <c r="E35" s="59">
        <f>C35*D35/100</f>
        <v>940.22</v>
      </c>
    </row>
    <row r="36" spans="1:7" s="17" customFormat="1" x14ac:dyDescent="0.3">
      <c r="A36" s="69" t="s">
        <v>21</v>
      </c>
      <c r="B36" s="60"/>
      <c r="C36" s="60"/>
      <c r="D36" s="61"/>
      <c r="E36" s="70">
        <f>SUM(E32:E35)</f>
        <v>3290.7700000000004</v>
      </c>
      <c r="F36" s="16"/>
      <c r="G36" s="16"/>
    </row>
    <row r="37" spans="1:7" x14ac:dyDescent="0.3">
      <c r="A37" s="57" t="s">
        <v>22</v>
      </c>
      <c r="B37" s="58" t="s">
        <v>5</v>
      </c>
      <c r="C37" s="71">
        <f>'[1]2.Encargos Sociais'!C36</f>
        <v>0.70595951999999995</v>
      </c>
      <c r="D37" s="59">
        <f>E36</f>
        <v>3290.7700000000004</v>
      </c>
      <c r="E37" s="59">
        <f>D37*C37</f>
        <v>2323.1504096304002</v>
      </c>
    </row>
    <row r="38" spans="1:7" s="17" customFormat="1" x14ac:dyDescent="0.3">
      <c r="A38" s="69" t="s">
        <v>29</v>
      </c>
      <c r="B38" s="72"/>
      <c r="C38" s="72"/>
      <c r="D38" s="73"/>
      <c r="E38" s="70">
        <f>E36+E37</f>
        <v>5613.9204096304002</v>
      </c>
      <c r="F38" s="16"/>
      <c r="G38" s="16"/>
    </row>
    <row r="39" spans="1:7" ht="14.4" thickBot="1" x14ac:dyDescent="0.35">
      <c r="A39" s="57" t="s">
        <v>23</v>
      </c>
      <c r="B39" s="58" t="s">
        <v>24</v>
      </c>
      <c r="C39" s="132">
        <v>1</v>
      </c>
      <c r="D39" s="59">
        <f>E38</f>
        <v>5613.9204096304002</v>
      </c>
      <c r="E39" s="59">
        <f>C39*D39</f>
        <v>5613.9204096304002</v>
      </c>
    </row>
    <row r="40" spans="1:7" ht="14.4" thickBot="1" x14ac:dyDescent="0.35">
      <c r="D40" s="64" t="s">
        <v>25</v>
      </c>
      <c r="E40" s="65" t="str">
        <f>B27</f>
        <v>32,95%</v>
      </c>
      <c r="F40" s="66">
        <f>E39*E40</f>
        <v>1849.786774973217</v>
      </c>
    </row>
    <row r="41" spans="1:7" x14ac:dyDescent="0.3">
      <c r="D41" s="64"/>
    </row>
    <row r="42" spans="1:7" ht="14.4" thickBot="1" x14ac:dyDescent="0.35">
      <c r="G42" s="2"/>
    </row>
    <row r="43" spans="1:7" ht="14.4" thickBot="1" x14ac:dyDescent="0.35">
      <c r="A43" s="76" t="s">
        <v>31</v>
      </c>
      <c r="B43" s="77"/>
      <c r="C43" s="77"/>
      <c r="D43" s="29"/>
      <c r="E43" s="78"/>
      <c r="F43" s="75">
        <f>F40</f>
        <v>1849.786774973217</v>
      </c>
      <c r="G43" s="2"/>
    </row>
    <row r="45" spans="1:7" x14ac:dyDescent="0.3">
      <c r="A45" s="17" t="s">
        <v>32</v>
      </c>
      <c r="G45" s="2"/>
    </row>
    <row r="46" spans="1:7" x14ac:dyDescent="0.3">
      <c r="G46" s="2"/>
    </row>
    <row r="47" spans="1:7" x14ac:dyDescent="0.3">
      <c r="A47" s="2" t="s">
        <v>33</v>
      </c>
      <c r="G47" s="2"/>
    </row>
    <row r="48" spans="1:7" ht="14.4" thickBot="1" x14ac:dyDescent="0.35">
      <c r="G48" s="2"/>
    </row>
    <row r="49" spans="1:7" ht="28.2" thickBot="1" x14ac:dyDescent="0.35">
      <c r="A49" s="94" t="s">
        <v>14</v>
      </c>
      <c r="B49" s="50" t="s">
        <v>15</v>
      </c>
      <c r="C49" s="79" t="s">
        <v>34</v>
      </c>
      <c r="D49" s="51" t="s">
        <v>16</v>
      </c>
      <c r="E49" s="51" t="s">
        <v>17</v>
      </c>
      <c r="F49" s="52" t="s">
        <v>18</v>
      </c>
      <c r="G49" s="2"/>
    </row>
    <row r="50" spans="1:7" x14ac:dyDescent="0.3">
      <c r="A50" s="57" t="s">
        <v>75</v>
      </c>
      <c r="B50" s="58" t="s">
        <v>30</v>
      </c>
      <c r="C50" s="80">
        <v>12</v>
      </c>
      <c r="D50" s="81">
        <v>60</v>
      </c>
      <c r="E50" s="56">
        <f t="shared" ref="E50:E58" si="1">IFERROR(D50/C50,0)</f>
        <v>5</v>
      </c>
      <c r="G50" s="2"/>
    </row>
    <row r="51" spans="1:7" x14ac:dyDescent="0.3">
      <c r="A51" s="57" t="s">
        <v>74</v>
      </c>
      <c r="B51" s="58" t="s">
        <v>30</v>
      </c>
      <c r="C51" s="80">
        <v>12</v>
      </c>
      <c r="D51" s="81">
        <v>40</v>
      </c>
      <c r="E51" s="56">
        <f t="shared" si="1"/>
        <v>3.3333333333333335</v>
      </c>
      <c r="G51" s="2"/>
    </row>
    <row r="52" spans="1:7" x14ac:dyDescent="0.3">
      <c r="A52" s="57" t="s">
        <v>72</v>
      </c>
      <c r="B52" s="58" t="s">
        <v>30</v>
      </c>
      <c r="C52" s="80">
        <v>4</v>
      </c>
      <c r="D52" s="81">
        <v>80</v>
      </c>
      <c r="E52" s="56">
        <f t="shared" si="1"/>
        <v>20</v>
      </c>
      <c r="G52" s="2"/>
    </row>
    <row r="53" spans="1:7" x14ac:dyDescent="0.3">
      <c r="A53" s="57" t="s">
        <v>73</v>
      </c>
      <c r="B53" s="58" t="s">
        <v>30</v>
      </c>
      <c r="C53" s="80">
        <v>4</v>
      </c>
      <c r="D53" s="81">
        <v>25</v>
      </c>
      <c r="E53" s="56">
        <f t="shared" si="1"/>
        <v>6.25</v>
      </c>
      <c r="G53" s="2"/>
    </row>
    <row r="54" spans="1:7" x14ac:dyDescent="0.3">
      <c r="A54" s="57" t="s">
        <v>69</v>
      </c>
      <c r="B54" s="58" t="s">
        <v>30</v>
      </c>
      <c r="C54" s="80">
        <v>3</v>
      </c>
      <c r="D54" s="81">
        <v>25</v>
      </c>
      <c r="E54" s="56">
        <f t="shared" si="1"/>
        <v>8.3333333333333339</v>
      </c>
      <c r="G54" s="2"/>
    </row>
    <row r="55" spans="1:7" x14ac:dyDescent="0.3">
      <c r="A55" s="57" t="s">
        <v>68</v>
      </c>
      <c r="B55" s="58" t="s">
        <v>35</v>
      </c>
      <c r="C55" s="80">
        <v>6</v>
      </c>
      <c r="D55" s="81">
        <v>90</v>
      </c>
      <c r="E55" s="56">
        <f t="shared" si="1"/>
        <v>15</v>
      </c>
      <c r="G55" s="2"/>
    </row>
    <row r="56" spans="1:7" x14ac:dyDescent="0.3">
      <c r="A56" s="57" t="s">
        <v>36</v>
      </c>
      <c r="B56" s="58" t="s">
        <v>35</v>
      </c>
      <c r="C56" s="80">
        <v>3</v>
      </c>
      <c r="D56" s="81">
        <v>17.899999999999999</v>
      </c>
      <c r="E56" s="56">
        <f t="shared" si="1"/>
        <v>5.9666666666666659</v>
      </c>
    </row>
    <row r="57" spans="1:7" x14ac:dyDescent="0.3">
      <c r="A57" s="57" t="s">
        <v>70</v>
      </c>
      <c r="B57" s="58" t="s">
        <v>30</v>
      </c>
      <c r="C57" s="80">
        <v>6</v>
      </c>
      <c r="D57" s="81">
        <v>15</v>
      </c>
      <c r="E57" s="56">
        <f t="shared" si="1"/>
        <v>2.5</v>
      </c>
    </row>
    <row r="58" spans="1:7" s="84" customFormat="1" x14ac:dyDescent="0.25">
      <c r="A58" s="57" t="s">
        <v>71</v>
      </c>
      <c r="B58" s="82" t="s">
        <v>30</v>
      </c>
      <c r="C58" s="80">
        <v>6</v>
      </c>
      <c r="D58" s="81">
        <v>20</v>
      </c>
      <c r="E58" s="56">
        <f t="shared" si="1"/>
        <v>3.3333333333333335</v>
      </c>
      <c r="F58" s="83"/>
      <c r="G58" s="83"/>
    </row>
    <row r="59" spans="1:7" x14ac:dyDescent="0.3">
      <c r="A59" s="57" t="s">
        <v>37</v>
      </c>
      <c r="B59" s="58" t="s">
        <v>35</v>
      </c>
      <c r="C59" s="80">
        <v>1</v>
      </c>
      <c r="D59" s="81">
        <v>57</v>
      </c>
      <c r="E59" s="56">
        <f>IFERROR(D59/C59,0)</f>
        <v>57</v>
      </c>
    </row>
    <row r="60" spans="1:7" ht="14.4" thickBot="1" x14ac:dyDescent="0.35">
      <c r="A60" s="57" t="s">
        <v>23</v>
      </c>
      <c r="B60" s="58" t="s">
        <v>24</v>
      </c>
      <c r="C60" s="85">
        <f>C39</f>
        <v>1</v>
      </c>
      <c r="D60" s="59">
        <f>+SUM(E50:E59)</f>
        <v>126.71666666666667</v>
      </c>
      <c r="E60" s="59">
        <f>C60*D60</f>
        <v>126.71666666666667</v>
      </c>
    </row>
    <row r="61" spans="1:7" ht="14.4" thickBot="1" x14ac:dyDescent="0.35">
      <c r="D61" s="64" t="s">
        <v>25</v>
      </c>
      <c r="E61" s="155" t="str">
        <f>B27</f>
        <v>32,95%</v>
      </c>
      <c r="F61" s="66">
        <f>E60*E61</f>
        <v>41.753141666666671</v>
      </c>
    </row>
    <row r="62" spans="1:7" ht="14.4" thickBot="1" x14ac:dyDescent="0.35">
      <c r="G62" s="2"/>
    </row>
    <row r="63" spans="1:7" ht="14.4" thickBot="1" x14ac:dyDescent="0.35">
      <c r="A63" s="76" t="s">
        <v>38</v>
      </c>
      <c r="B63" s="86"/>
      <c r="C63" s="86"/>
      <c r="D63" s="87"/>
      <c r="E63" s="88"/>
      <c r="F63" s="89">
        <f>F61</f>
        <v>41.753141666666671</v>
      </c>
      <c r="G63" s="2"/>
    </row>
    <row r="64" spans="1:7" x14ac:dyDescent="0.3">
      <c r="G64" s="2"/>
    </row>
    <row r="65" spans="1:10" x14ac:dyDescent="0.3">
      <c r="A65" s="17" t="s">
        <v>39</v>
      </c>
      <c r="G65" s="2"/>
    </row>
    <row r="66" spans="1:10" ht="11.25" customHeight="1" x14ac:dyDescent="0.3">
      <c r="B66" s="90"/>
      <c r="G66" s="2"/>
    </row>
    <row r="67" spans="1:10" x14ac:dyDescent="0.3">
      <c r="A67" s="2" t="s">
        <v>76</v>
      </c>
      <c r="G67" s="2"/>
    </row>
    <row r="68" spans="1:10" ht="11.25" customHeight="1" x14ac:dyDescent="0.3">
      <c r="G68" s="2"/>
    </row>
    <row r="69" spans="1:10" ht="14.4" thickBot="1" x14ac:dyDescent="0.35">
      <c r="A69" s="90" t="s">
        <v>40</v>
      </c>
      <c r="G69" s="2"/>
    </row>
    <row r="70" spans="1:10" ht="14.4" thickBot="1" x14ac:dyDescent="0.35">
      <c r="A70" s="49" t="s">
        <v>14</v>
      </c>
      <c r="B70" s="50" t="s">
        <v>15</v>
      </c>
      <c r="C70" s="50" t="s">
        <v>9</v>
      </c>
      <c r="D70" s="51" t="s">
        <v>16</v>
      </c>
      <c r="E70" s="51" t="s">
        <v>17</v>
      </c>
      <c r="F70" s="52" t="s">
        <v>18</v>
      </c>
      <c r="G70" s="2"/>
    </row>
    <row r="71" spans="1:10" x14ac:dyDescent="0.3">
      <c r="A71" s="53" t="s">
        <v>118</v>
      </c>
      <c r="B71" s="54" t="s">
        <v>30</v>
      </c>
      <c r="C71" s="54">
        <v>1</v>
      </c>
      <c r="D71" s="81">
        <v>3000</v>
      </c>
      <c r="E71" s="56">
        <f>D71</f>
        <v>3000</v>
      </c>
      <c r="G71" s="2"/>
    </row>
    <row r="72" spans="1:10" x14ac:dyDescent="0.3">
      <c r="A72" s="57" t="s">
        <v>78</v>
      </c>
      <c r="B72" s="58" t="s">
        <v>77</v>
      </c>
      <c r="C72" s="132">
        <v>1</v>
      </c>
      <c r="D72" s="59">
        <v>800</v>
      </c>
      <c r="E72" s="59">
        <f>D72</f>
        <v>800</v>
      </c>
      <c r="G72" s="2"/>
    </row>
    <row r="73" spans="1:10" x14ac:dyDescent="0.3">
      <c r="A73" s="57" t="s">
        <v>79</v>
      </c>
      <c r="B73" s="58" t="s">
        <v>77</v>
      </c>
      <c r="C73" s="132">
        <v>1</v>
      </c>
      <c r="D73" s="59">
        <v>300</v>
      </c>
      <c r="E73" s="59">
        <f>D73</f>
        <v>300</v>
      </c>
      <c r="F73" s="91"/>
      <c r="I73" s="1"/>
      <c r="J73" s="1"/>
    </row>
    <row r="74" spans="1:10" ht="14.4" thickBot="1" x14ac:dyDescent="0.35">
      <c r="A74" s="69" t="s">
        <v>41</v>
      </c>
      <c r="B74" s="92" t="s">
        <v>30</v>
      </c>
      <c r="C74" s="132">
        <v>1</v>
      </c>
      <c r="D74" s="70" t="s">
        <v>42</v>
      </c>
      <c r="E74" s="62">
        <f>SUM(E71+E72+E73)</f>
        <v>4100</v>
      </c>
    </row>
    <row r="75" spans="1:10" ht="14.4" thickBot="1" x14ac:dyDescent="0.35">
      <c r="A75" s="93"/>
      <c r="B75" s="93"/>
      <c r="C75" s="93"/>
      <c r="D75" s="64" t="s">
        <v>25</v>
      </c>
      <c r="E75" s="65" t="str">
        <f>B27</f>
        <v>32,95%</v>
      </c>
      <c r="F75" s="89">
        <f>E74*E75</f>
        <v>1350.95</v>
      </c>
    </row>
    <row r="76" spans="1:10" ht="11.25" customHeight="1" x14ac:dyDescent="0.3">
      <c r="I76" s="1"/>
      <c r="J76" s="1"/>
    </row>
    <row r="77" spans="1:10" x14ac:dyDescent="0.3">
      <c r="A77" s="2" t="s">
        <v>113</v>
      </c>
      <c r="B77" s="96"/>
      <c r="I77" s="1"/>
      <c r="J77" s="1"/>
    </row>
    <row r="78" spans="1:10" x14ac:dyDescent="0.3">
      <c r="B78" s="96"/>
      <c r="I78" s="1"/>
      <c r="J78" s="1"/>
    </row>
    <row r="79" spans="1:10" x14ac:dyDescent="0.3">
      <c r="A79" s="69" t="s">
        <v>43</v>
      </c>
      <c r="B79" s="133">
        <v>824</v>
      </c>
      <c r="I79" s="1"/>
      <c r="J79" s="1"/>
    </row>
    <row r="80" spans="1:10" ht="14.4" thickBot="1" x14ac:dyDescent="0.35">
      <c r="B80" s="96"/>
      <c r="I80" s="1"/>
      <c r="J80" s="1"/>
    </row>
    <row r="81" spans="1:10" ht="14.4" thickBot="1" x14ac:dyDescent="0.35">
      <c r="A81" s="49" t="s">
        <v>14</v>
      </c>
      <c r="B81" s="50" t="s">
        <v>15</v>
      </c>
      <c r="C81" s="50" t="s">
        <v>44</v>
      </c>
      <c r="D81" s="51" t="s">
        <v>16</v>
      </c>
      <c r="E81" s="51" t="s">
        <v>17</v>
      </c>
      <c r="F81" s="52" t="s">
        <v>18</v>
      </c>
      <c r="I81" s="1"/>
      <c r="J81" s="1"/>
    </row>
    <row r="82" spans="1:10" x14ac:dyDescent="0.3">
      <c r="A82" s="53" t="s">
        <v>45</v>
      </c>
      <c r="B82" s="54" t="s">
        <v>46</v>
      </c>
      <c r="C82" s="97">
        <v>2.2000000000000002</v>
      </c>
      <c r="D82" s="98">
        <v>6.02</v>
      </c>
      <c r="E82" s="56"/>
      <c r="I82" s="1"/>
      <c r="J82" s="1"/>
    </row>
    <row r="83" spans="1:10" x14ac:dyDescent="0.3">
      <c r="A83" s="57" t="s">
        <v>47</v>
      </c>
      <c r="B83" s="58" t="s">
        <v>48</v>
      </c>
      <c r="C83" s="74">
        <f>B79</f>
        <v>824</v>
      </c>
      <c r="D83" s="99">
        <f>IFERROR(+D82/C82,"-")</f>
        <v>2.7363636363636359</v>
      </c>
      <c r="E83" s="59">
        <f>IFERROR(C83*D83,"-")</f>
        <v>2254.7636363636361</v>
      </c>
      <c r="I83" s="1"/>
      <c r="J83" s="1"/>
    </row>
    <row r="84" spans="1:10" x14ac:dyDescent="0.3">
      <c r="A84" s="57" t="s">
        <v>49</v>
      </c>
      <c r="B84" s="58" t="s">
        <v>50</v>
      </c>
      <c r="C84" s="100">
        <v>1.33</v>
      </c>
      <c r="D84" s="95">
        <v>20</v>
      </c>
      <c r="E84" s="59"/>
      <c r="I84" s="1"/>
      <c r="J84" s="1"/>
    </row>
    <row r="85" spans="1:10" x14ac:dyDescent="0.3">
      <c r="A85" s="57" t="s">
        <v>51</v>
      </c>
      <c r="B85" s="58" t="s">
        <v>48</v>
      </c>
      <c r="C85" s="74">
        <f>C83</f>
        <v>824</v>
      </c>
      <c r="D85" s="101">
        <f>+C84*D84/1000</f>
        <v>2.6600000000000002E-2</v>
      </c>
      <c r="E85" s="59">
        <f>C85*D85</f>
        <v>21.918400000000002</v>
      </c>
      <c r="I85" s="1"/>
      <c r="J85" s="1"/>
    </row>
    <row r="86" spans="1:10" x14ac:dyDescent="0.3">
      <c r="A86" s="57" t="s">
        <v>52</v>
      </c>
      <c r="B86" s="58" t="s">
        <v>50</v>
      </c>
      <c r="C86" s="100">
        <v>0.18</v>
      </c>
      <c r="D86" s="95">
        <v>23.5</v>
      </c>
      <c r="E86" s="59"/>
      <c r="I86" s="1"/>
      <c r="J86" s="1"/>
    </row>
    <row r="87" spans="1:10" x14ac:dyDescent="0.3">
      <c r="A87" s="57" t="s">
        <v>53</v>
      </c>
      <c r="B87" s="58" t="s">
        <v>48</v>
      </c>
      <c r="C87" s="74">
        <f>C83</f>
        <v>824</v>
      </c>
      <c r="D87" s="101">
        <f>+C86*D86/1000</f>
        <v>4.2299999999999994E-3</v>
      </c>
      <c r="E87" s="59">
        <f>C87*D87</f>
        <v>3.4855199999999993</v>
      </c>
      <c r="I87" s="1"/>
      <c r="J87" s="1"/>
    </row>
    <row r="88" spans="1:10" x14ac:dyDescent="0.3">
      <c r="A88" s="57" t="s">
        <v>54</v>
      </c>
      <c r="B88" s="58" t="s">
        <v>50</v>
      </c>
      <c r="C88" s="100">
        <v>3</v>
      </c>
      <c r="D88" s="95">
        <v>21</v>
      </c>
      <c r="E88" s="59"/>
      <c r="I88" s="1"/>
      <c r="J88" s="1"/>
    </row>
    <row r="89" spans="1:10" x14ac:dyDescent="0.3">
      <c r="A89" s="57" t="s">
        <v>55</v>
      </c>
      <c r="B89" s="58" t="s">
        <v>48</v>
      </c>
      <c r="C89" s="74">
        <f>C83</f>
        <v>824</v>
      </c>
      <c r="D89" s="101">
        <f>+C88*D88/1000</f>
        <v>6.3E-2</v>
      </c>
      <c r="E89" s="59">
        <f>C89*D89</f>
        <v>51.911999999999999</v>
      </c>
      <c r="I89" s="1"/>
      <c r="J89" s="1"/>
    </row>
    <row r="90" spans="1:10" x14ac:dyDescent="0.3">
      <c r="A90" s="57" t="s">
        <v>56</v>
      </c>
      <c r="B90" s="58" t="s">
        <v>57</v>
      </c>
      <c r="C90" s="100">
        <v>1</v>
      </c>
      <c r="D90" s="95">
        <v>19</v>
      </c>
      <c r="E90" s="59"/>
      <c r="I90" s="1"/>
      <c r="J90" s="1"/>
    </row>
    <row r="91" spans="1:10" x14ac:dyDescent="0.3">
      <c r="A91" s="57" t="s">
        <v>58</v>
      </c>
      <c r="B91" s="58" t="s">
        <v>48</v>
      </c>
      <c r="C91" s="74">
        <f>C83</f>
        <v>824</v>
      </c>
      <c r="D91" s="101">
        <f>+C90*D90/1000</f>
        <v>1.9E-2</v>
      </c>
      <c r="E91" s="59">
        <f>C91*D91</f>
        <v>15.655999999999999</v>
      </c>
      <c r="I91" s="1"/>
      <c r="J91" s="1"/>
    </row>
    <row r="92" spans="1:10" ht="14.4" thickBot="1" x14ac:dyDescent="0.35">
      <c r="A92" s="69" t="s">
        <v>59</v>
      </c>
      <c r="B92" s="92" t="s">
        <v>60</v>
      </c>
      <c r="C92" s="102"/>
      <c r="D92" s="103">
        <f>IFERROR(D83+D85+D87+D89+D91,0)</f>
        <v>2.8491936363636365</v>
      </c>
      <c r="E92" s="59"/>
      <c r="I92" s="1"/>
      <c r="J92" s="1"/>
    </row>
    <row r="93" spans="1:10" ht="14.4" thickBot="1" x14ac:dyDescent="0.35">
      <c r="F93" s="89">
        <f>SUM(E82:E91)</f>
        <v>2347.7355563636361</v>
      </c>
      <c r="I93" s="1"/>
      <c r="J93" s="1"/>
    </row>
    <row r="94" spans="1:10" ht="11.25" customHeight="1" x14ac:dyDescent="0.3">
      <c r="I94" s="1"/>
      <c r="J94" s="1"/>
    </row>
    <row r="95" spans="1:10" ht="11.25" customHeight="1" thickBot="1" x14ac:dyDescent="0.35">
      <c r="G95" s="2"/>
    </row>
    <row r="96" spans="1:10" ht="14.4" thickBot="1" x14ac:dyDescent="0.35">
      <c r="A96" s="76" t="s">
        <v>61</v>
      </c>
      <c r="B96" s="77"/>
      <c r="C96" s="77"/>
      <c r="D96" s="29"/>
      <c r="E96" s="78"/>
      <c r="F96" s="89">
        <f>F93+F75</f>
        <v>3698.6855563636364</v>
      </c>
      <c r="G96" s="2"/>
    </row>
    <row r="97" spans="1:7" x14ac:dyDescent="0.3">
      <c r="G97" s="2"/>
    </row>
    <row r="98" spans="1:7" ht="14.4" thickBot="1" x14ac:dyDescent="0.35"/>
    <row r="99" spans="1:7" ht="14.4" thickBot="1" x14ac:dyDescent="0.35">
      <c r="A99" s="76" t="s">
        <v>62</v>
      </c>
      <c r="B99" s="86"/>
      <c r="C99" s="86"/>
      <c r="D99" s="87"/>
      <c r="E99" s="88"/>
      <c r="F99" s="75">
        <f>F96+F63+F43</f>
        <v>5590.2254730035202</v>
      </c>
    </row>
    <row r="101" spans="1:7" x14ac:dyDescent="0.3">
      <c r="A101" s="17" t="s">
        <v>114</v>
      </c>
    </row>
    <row r="102" spans="1:7" ht="14.4" thickBot="1" x14ac:dyDescent="0.35">
      <c r="A102" s="17"/>
    </row>
    <row r="103" spans="1:7" ht="14.4" thickBot="1" x14ac:dyDescent="0.35">
      <c r="A103" s="49" t="s">
        <v>14</v>
      </c>
      <c r="B103" s="50" t="s">
        <v>15</v>
      </c>
      <c r="C103" s="50" t="s">
        <v>9</v>
      </c>
      <c r="D103" s="51" t="s">
        <v>16</v>
      </c>
      <c r="E103" s="51" t="s">
        <v>17</v>
      </c>
      <c r="F103" s="52" t="s">
        <v>63</v>
      </c>
    </row>
    <row r="104" spans="1:7" ht="15" thickBot="1" x14ac:dyDescent="0.35">
      <c r="A104" s="57" t="s">
        <v>80</v>
      </c>
      <c r="B104" s="58" t="s">
        <v>81</v>
      </c>
      <c r="C104" s="58">
        <v>160</v>
      </c>
      <c r="D104" s="104">
        <v>53.69</v>
      </c>
      <c r="E104" s="105">
        <f>C104*D104</f>
        <v>8590.4</v>
      </c>
      <c r="F104" s="91"/>
    </row>
    <row r="105" spans="1:7" ht="14.4" thickBot="1" x14ac:dyDescent="0.35">
      <c r="A105" s="106"/>
      <c r="B105" s="107"/>
      <c r="C105" s="108"/>
      <c r="D105" s="108"/>
      <c r="E105" s="109"/>
      <c r="F105" s="66">
        <f>E104</f>
        <v>8590.4</v>
      </c>
    </row>
    <row r="106" spans="1:7" ht="14.4" thickBot="1" x14ac:dyDescent="0.35">
      <c r="A106" s="108"/>
      <c r="B106" s="108"/>
      <c r="C106" s="108"/>
      <c r="D106" s="108"/>
      <c r="E106" s="109"/>
      <c r="F106" s="109"/>
    </row>
    <row r="107" spans="1:7" ht="14.4" thickBot="1" x14ac:dyDescent="0.35">
      <c r="A107" s="76" t="s">
        <v>116</v>
      </c>
      <c r="B107" s="86"/>
      <c r="C107" s="86"/>
      <c r="D107" s="87"/>
      <c r="E107" s="88"/>
      <c r="F107" s="75">
        <f>F105</f>
        <v>8590.4</v>
      </c>
    </row>
    <row r="108" spans="1:7" x14ac:dyDescent="0.3">
      <c r="A108" s="17"/>
    </row>
    <row r="109" spans="1:7" x14ac:dyDescent="0.3">
      <c r="A109" s="108" t="s">
        <v>115</v>
      </c>
    </row>
    <row r="110" spans="1:7" ht="11.25" customHeight="1" thickBot="1" x14ac:dyDescent="0.35"/>
    <row r="111" spans="1:7" ht="14.4" thickBot="1" x14ac:dyDescent="0.35">
      <c r="A111" s="49" t="s">
        <v>14</v>
      </c>
      <c r="B111" s="50" t="s">
        <v>15</v>
      </c>
      <c r="C111" s="50" t="s">
        <v>9</v>
      </c>
      <c r="D111" s="51" t="s">
        <v>16</v>
      </c>
      <c r="E111" s="51" t="s">
        <v>17</v>
      </c>
      <c r="F111" s="52" t="s">
        <v>18</v>
      </c>
    </row>
    <row r="112" spans="1:7" ht="14.4" thickBot="1" x14ac:dyDescent="0.35">
      <c r="A112" s="53" t="s">
        <v>64</v>
      </c>
      <c r="B112" s="54" t="s">
        <v>5</v>
      </c>
      <c r="C112" s="117">
        <f>BDI!B9</f>
        <v>32.65</v>
      </c>
      <c r="D112" s="56">
        <f>F99</f>
        <v>5590.2254730035202</v>
      </c>
      <c r="E112" s="56">
        <f>(D112)*(34.65)%</f>
        <v>1937.0131263957196</v>
      </c>
    </row>
    <row r="113" spans="1:6" ht="14.4" thickBot="1" x14ac:dyDescent="0.35">
      <c r="F113" s="89">
        <f>+E112</f>
        <v>1937.0131263957196</v>
      </c>
    </row>
    <row r="114" spans="1:6" ht="11.25" customHeight="1" thickBot="1" x14ac:dyDescent="0.35"/>
    <row r="115" spans="1:6" ht="14.4" thickBot="1" x14ac:dyDescent="0.35">
      <c r="A115" s="76" t="s">
        <v>65</v>
      </c>
      <c r="B115" s="86"/>
      <c r="C115" s="86"/>
      <c r="D115" s="87"/>
      <c r="E115" s="88"/>
      <c r="F115" s="75">
        <f>F113</f>
        <v>1937.0131263957196</v>
      </c>
    </row>
    <row r="116" spans="1:6" x14ac:dyDescent="0.3">
      <c r="A116" s="17"/>
      <c r="F116" s="61"/>
    </row>
    <row r="117" spans="1:6" ht="14.4" thickBot="1" x14ac:dyDescent="0.35">
      <c r="A117" s="17"/>
      <c r="B117" s="17"/>
      <c r="C117" s="17"/>
      <c r="D117" s="16"/>
      <c r="E117" s="16"/>
      <c r="F117" s="61"/>
    </row>
    <row r="118" spans="1:6" ht="27" customHeight="1" thickTop="1" thickBot="1" x14ac:dyDescent="0.35">
      <c r="A118" s="139" t="s">
        <v>111</v>
      </c>
      <c r="B118" s="139"/>
      <c r="C118" s="139"/>
      <c r="D118" s="139"/>
      <c r="E118" s="140"/>
      <c r="F118" s="127">
        <f>F119/20</f>
        <v>805.8819299699619</v>
      </c>
    </row>
    <row r="119" spans="1:6" ht="24.75" customHeight="1" thickBot="1" x14ac:dyDescent="0.35">
      <c r="A119" s="123" t="s">
        <v>66</v>
      </c>
      <c r="B119" s="37"/>
      <c r="C119" s="37"/>
      <c r="D119" s="124"/>
      <c r="E119" s="125"/>
      <c r="F119" s="126">
        <f>F99+F115+F107</f>
        <v>16117.638599399239</v>
      </c>
    </row>
    <row r="120" spans="1:6" ht="22.2" customHeight="1" x14ac:dyDescent="0.3">
      <c r="A120" s="17" t="s">
        <v>1</v>
      </c>
      <c r="B120" s="16" t="s">
        <v>1</v>
      </c>
      <c r="C120" s="17"/>
      <c r="D120" s="16"/>
      <c r="E120" s="16"/>
      <c r="F120" s="16"/>
    </row>
    <row r="121" spans="1:6" ht="63" customHeight="1" x14ac:dyDescent="0.3">
      <c r="B121" s="138"/>
      <c r="C121" s="138"/>
      <c r="D121" s="138"/>
    </row>
    <row r="122" spans="1:6" x14ac:dyDescent="0.3">
      <c r="B122" s="135" t="s">
        <v>117</v>
      </c>
      <c r="C122" s="135"/>
      <c r="D122" s="135"/>
    </row>
    <row r="124" spans="1:6" x14ac:dyDescent="0.3">
      <c r="B124" s="106"/>
    </row>
    <row r="150" s="2" customFormat="1" ht="9" customHeight="1" x14ac:dyDescent="0.3"/>
  </sheetData>
  <mergeCells count="10">
    <mergeCell ref="B122:D122"/>
    <mergeCell ref="A23:D23"/>
    <mergeCell ref="B121:D121"/>
    <mergeCell ref="A118:E118"/>
    <mergeCell ref="A1:F1"/>
    <mergeCell ref="A2:F2"/>
    <mergeCell ref="A4:F4"/>
    <mergeCell ref="A8:C8"/>
    <mergeCell ref="A18:E18"/>
    <mergeCell ref="A19:D19"/>
  </mergeCells>
  <hyperlinks>
    <hyperlink ref="A69" location="AbaDeprec" display="3.1.1. Depreciação" xr:uid="{04778BD7-14E6-4D76-BF2F-75860BA9D2B8}"/>
  </hyperlinks>
  <pageMargins left="0.511811024" right="0.511811024" top="0.78740157499999996" bottom="0.78740157499999996" header="0.31496062000000002" footer="0.31496062000000002"/>
  <pageSetup paperSize="9" scale="7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DAF6-2F9D-4D96-AC6E-7210A929447B}">
  <dimension ref="A1:B8"/>
  <sheetViews>
    <sheetView workbookViewId="0">
      <selection activeCell="B8" sqref="B8"/>
    </sheetView>
  </sheetViews>
  <sheetFormatPr defaultColWidth="16.5546875" defaultRowHeight="14.4" x14ac:dyDescent="0.3"/>
  <cols>
    <col min="1" max="1" width="27.109375" bestFit="1" customWidth="1"/>
    <col min="2" max="2" width="15.21875" bestFit="1" customWidth="1"/>
  </cols>
  <sheetData>
    <row r="1" spans="1:2" x14ac:dyDescent="0.3">
      <c r="A1" s="116" t="s">
        <v>92</v>
      </c>
      <c r="B1" s="116" t="s">
        <v>93</v>
      </c>
    </row>
    <row r="2" spans="1:2" x14ac:dyDescent="0.3">
      <c r="A2" s="110" t="s">
        <v>94</v>
      </c>
      <c r="B2" s="110" t="s">
        <v>95</v>
      </c>
    </row>
    <row r="3" spans="1:2" x14ac:dyDescent="0.3">
      <c r="A3" s="110" t="s">
        <v>96</v>
      </c>
      <c r="B3" s="110" t="s">
        <v>97</v>
      </c>
    </row>
    <row r="4" spans="1:2" x14ac:dyDescent="0.3">
      <c r="A4" s="110" t="s">
        <v>98</v>
      </c>
      <c r="B4" s="110" t="s">
        <v>99</v>
      </c>
    </row>
    <row r="5" spans="1:2" ht="15" thickBot="1" x14ac:dyDescent="0.35">
      <c r="A5" s="112" t="s">
        <v>100</v>
      </c>
      <c r="B5" s="112" t="s">
        <v>95</v>
      </c>
    </row>
    <row r="6" spans="1:2" x14ac:dyDescent="0.3">
      <c r="A6" s="118" t="s">
        <v>101</v>
      </c>
      <c r="B6" s="119" t="s">
        <v>102</v>
      </c>
    </row>
    <row r="7" spans="1:2" x14ac:dyDescent="0.3">
      <c r="A7" s="110" t="s">
        <v>103</v>
      </c>
      <c r="B7" s="122">
        <v>20</v>
      </c>
    </row>
    <row r="8" spans="1:2" x14ac:dyDescent="0.3">
      <c r="A8" s="121" t="s">
        <v>104</v>
      </c>
      <c r="B8" s="121">
        <f>(174)*(20)/(60)</f>
        <v>58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DA7E-B1C4-4922-9C02-E9B9C66E929B}">
  <dimension ref="A1:B4"/>
  <sheetViews>
    <sheetView workbookViewId="0">
      <selection activeCell="B4" sqref="B4"/>
    </sheetView>
  </sheetViews>
  <sheetFormatPr defaultRowHeight="14.4" x14ac:dyDescent="0.3"/>
  <cols>
    <col min="1" max="1" width="45.44140625" bestFit="1" customWidth="1"/>
  </cols>
  <sheetData>
    <row r="1" spans="1:2" x14ac:dyDescent="0.3">
      <c r="A1" s="116" t="s">
        <v>0</v>
      </c>
      <c r="B1" s="116" t="s">
        <v>105</v>
      </c>
    </row>
    <row r="2" spans="1:2" x14ac:dyDescent="0.3">
      <c r="A2" s="110" t="s">
        <v>106</v>
      </c>
      <c r="B2" s="110">
        <f>'Ciclo de Trabalho'!B8</f>
        <v>58</v>
      </c>
    </row>
    <row r="3" spans="1:2" x14ac:dyDescent="0.3">
      <c r="A3" s="110" t="s">
        <v>107</v>
      </c>
      <c r="B3" s="110" t="s">
        <v>108</v>
      </c>
    </row>
    <row r="4" spans="1:2" x14ac:dyDescent="0.3">
      <c r="A4" s="120" t="s">
        <v>109</v>
      </c>
      <c r="B4" s="120" t="s">
        <v>110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E9F3-8D18-4A3B-8B35-EF21A262AB78}">
  <dimension ref="A1:B9"/>
  <sheetViews>
    <sheetView workbookViewId="0">
      <selection activeCell="D1" sqref="D1"/>
    </sheetView>
  </sheetViews>
  <sheetFormatPr defaultRowHeight="14.4" x14ac:dyDescent="0.3"/>
  <cols>
    <col min="1" max="1" width="45.77734375" bestFit="1" customWidth="1"/>
    <col min="2" max="2" width="21.77734375" bestFit="1" customWidth="1"/>
  </cols>
  <sheetData>
    <row r="1" spans="1:2" x14ac:dyDescent="0.3">
      <c r="A1" s="116" t="s">
        <v>82</v>
      </c>
      <c r="B1" s="116" t="s">
        <v>83</v>
      </c>
    </row>
    <row r="2" spans="1:2" x14ac:dyDescent="0.3">
      <c r="A2" s="110" t="s">
        <v>84</v>
      </c>
      <c r="B2" s="111">
        <v>4</v>
      </c>
    </row>
    <row r="3" spans="1:2" x14ac:dyDescent="0.3">
      <c r="A3" s="110" t="s">
        <v>85</v>
      </c>
      <c r="B3" s="111">
        <v>8.65</v>
      </c>
    </row>
    <row r="4" spans="1:2" x14ac:dyDescent="0.3">
      <c r="A4" s="110" t="s">
        <v>86</v>
      </c>
      <c r="B4" s="111">
        <v>3</v>
      </c>
    </row>
    <row r="5" spans="1:2" x14ac:dyDescent="0.3">
      <c r="A5" s="110" t="s">
        <v>87</v>
      </c>
      <c r="B5" s="111">
        <v>3</v>
      </c>
    </row>
    <row r="6" spans="1:2" x14ac:dyDescent="0.3">
      <c r="A6" s="110" t="s">
        <v>88</v>
      </c>
      <c r="B6" s="111">
        <v>2</v>
      </c>
    </row>
    <row r="7" spans="1:2" x14ac:dyDescent="0.3">
      <c r="A7" s="110" t="s">
        <v>89</v>
      </c>
      <c r="B7" s="111">
        <v>10</v>
      </c>
    </row>
    <row r="8" spans="1:2" ht="15" thickBot="1" x14ac:dyDescent="0.35">
      <c r="A8" s="112" t="s">
        <v>90</v>
      </c>
      <c r="B8" s="113">
        <v>2</v>
      </c>
    </row>
    <row r="9" spans="1:2" ht="15" thickBot="1" x14ac:dyDescent="0.35">
      <c r="A9" s="114" t="s">
        <v>91</v>
      </c>
      <c r="B9" s="115">
        <f>SUM(B2:B8)</f>
        <v>32.65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de Custo</vt:lpstr>
      <vt:lpstr>Ciclo de Trabalho</vt:lpstr>
      <vt:lpstr>Fator Utilização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Elisa</cp:lastModifiedBy>
  <cp:lastPrinted>2025-07-10T12:09:12Z</cp:lastPrinted>
  <dcterms:created xsi:type="dcterms:W3CDTF">2025-06-06T18:28:25Z</dcterms:created>
  <dcterms:modified xsi:type="dcterms:W3CDTF">2025-07-10T12:09:23Z</dcterms:modified>
</cp:coreProperties>
</file>