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ÕES\2020\TOMADA DE PREÇOS\"/>
    </mc:Choice>
  </mc:AlternateContent>
  <bookViews>
    <workbookView xWindow="0" yWindow="0" windowWidth="16125" windowHeight="2985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Domiciliar'!$A$1:$F$226</definedName>
    <definedName name="_xlnm.Print_Area" localSheetId="1">'2.Encargos Sociais'!$A$1:$C$36</definedName>
    <definedName name="_xlnm.Print_Titles" localSheetId="0">'1. Coleta Domiciliar'!$1:$8</definedName>
  </definedNames>
  <calcPr calcId="152511"/>
</workbook>
</file>

<file path=xl/calcChain.xml><?xml version="1.0" encoding="utf-8"?>
<calcChain xmlns="http://schemas.openxmlformats.org/spreadsheetml/2006/main">
  <c r="B222" i="2" l="1"/>
  <c r="B221" i="2"/>
  <c r="D11" i="4"/>
  <c r="E11" i="4"/>
  <c r="F11" i="4"/>
  <c r="C13" i="4"/>
  <c r="C81" i="2" l="1"/>
  <c r="C80" i="2"/>
  <c r="A86" i="2"/>
  <c r="A87" i="2"/>
  <c r="C185" i="2"/>
  <c r="E97" i="2"/>
  <c r="L189" i="2"/>
  <c r="L187" i="2"/>
  <c r="L186" i="2"/>
  <c r="L185" i="2"/>
  <c r="L188" i="2" l="1"/>
  <c r="L190" i="2" s="1"/>
  <c r="C18" i="9"/>
  <c r="C29" i="5" l="1"/>
  <c r="C161" i="2" l="1"/>
  <c r="C160" i="2"/>
  <c r="C162" i="2"/>
  <c r="A30" i="2" l="1"/>
  <c r="A29" i="2"/>
  <c r="A21" i="2"/>
  <c r="A20" i="2"/>
  <c r="A15" i="2"/>
  <c r="C10" i="9" l="1"/>
  <c r="C11" i="9" s="1"/>
  <c r="C12" i="9" l="1"/>
  <c r="C14" i="9"/>
  <c r="C19" i="9" s="1"/>
  <c r="C21" i="9" s="1"/>
  <c r="C136" i="2"/>
  <c r="E36" i="2" l="1"/>
  <c r="E35" i="2"/>
  <c r="E40" i="2"/>
  <c r="C87" i="2" l="1"/>
  <c r="E87" i="2" s="1"/>
  <c r="C118" i="2"/>
  <c r="C86" i="2"/>
  <c r="E86" i="2" s="1"/>
  <c r="C107" i="2"/>
  <c r="C155" i="2"/>
  <c r="C150" i="2"/>
  <c r="D179" i="2"/>
  <c r="D177" i="2"/>
  <c r="D175" i="2"/>
  <c r="D173" i="2"/>
  <c r="F88" i="2" l="1"/>
  <c r="E98" i="2"/>
  <c r="E99" i="2"/>
  <c r="E100" i="2"/>
  <c r="E101" i="2"/>
  <c r="E102" i="2"/>
  <c r="E103" i="2"/>
  <c r="E104" i="2"/>
  <c r="E105" i="2"/>
  <c r="D52" i="2" l="1"/>
  <c r="E52" i="2" s="1"/>
  <c r="D51" i="2"/>
  <c r="E51" i="2" s="1"/>
  <c r="D65" i="2"/>
  <c r="E65" i="2" s="1"/>
  <c r="D53" i="2" l="1"/>
  <c r="E53" i="2" s="1"/>
  <c r="D66" i="2"/>
  <c r="E66" i="2" s="1"/>
  <c r="D67" i="2" s="1"/>
  <c r="E67" i="2" s="1"/>
  <c r="C194" i="2" l="1"/>
  <c r="A28" i="2"/>
  <c r="A27" i="2"/>
  <c r="A26" i="2"/>
  <c r="A25" i="2"/>
  <c r="A24" i="2"/>
  <c r="A23" i="2"/>
  <c r="A22" i="2"/>
  <c r="A19" i="2"/>
  <c r="A18" i="2"/>
  <c r="A17" i="2"/>
  <c r="A16" i="2"/>
  <c r="C17" i="8"/>
  <c r="E164" i="2"/>
  <c r="E156" i="2"/>
  <c r="E140" i="2"/>
  <c r="E119" i="2"/>
  <c r="E108" i="2"/>
  <c r="E74" i="2"/>
  <c r="E59" i="2"/>
  <c r="D144" i="2"/>
  <c r="C18" i="4"/>
  <c r="C212" i="2" s="1"/>
  <c r="C14" i="8"/>
  <c r="C31" i="5"/>
  <c r="E63" i="2"/>
  <c r="D81" i="2" s="1"/>
  <c r="E81" i="2" s="1"/>
  <c r="C192" i="2"/>
  <c r="E192" i="2" s="1"/>
  <c r="C171" i="2"/>
  <c r="C173" i="2" s="1"/>
  <c r="E173" i="2" s="1"/>
  <c r="D171" i="2"/>
  <c r="D180" i="2" s="1"/>
  <c r="E128" i="2"/>
  <c r="C137" i="2"/>
  <c r="C132" i="2"/>
  <c r="C133" i="2"/>
  <c r="C149" i="2" s="1"/>
  <c r="A35" i="2"/>
  <c r="A36" i="2"/>
  <c r="A40" i="2"/>
  <c r="E50" i="2"/>
  <c r="D80" i="2" s="1"/>
  <c r="E80" i="2" s="1"/>
  <c r="E106" i="2"/>
  <c r="D113" i="2"/>
  <c r="E113" i="2" s="1"/>
  <c r="D114" i="2"/>
  <c r="E114" i="2" s="1"/>
  <c r="D115" i="2"/>
  <c r="E115" i="2" s="1"/>
  <c r="D116" i="2"/>
  <c r="E116" i="2" s="1"/>
  <c r="D117" i="2"/>
  <c r="E117" i="2" s="1"/>
  <c r="E190" i="2"/>
  <c r="E162" i="2"/>
  <c r="E161" i="2"/>
  <c r="E202" i="2"/>
  <c r="F82" i="2" l="1"/>
  <c r="D69" i="2"/>
  <c r="E69" i="2" s="1"/>
  <c r="E70" i="2" s="1"/>
  <c r="C33" i="5"/>
  <c r="C34" i="5" s="1"/>
  <c r="C32" i="5"/>
  <c r="C28" i="8" s="1"/>
  <c r="D131" i="2"/>
  <c r="E131" i="2" s="1"/>
  <c r="D160" i="2"/>
  <c r="C177" i="2"/>
  <c r="E177" i="2" s="1"/>
  <c r="C179" i="2"/>
  <c r="E179" i="2" s="1"/>
  <c r="F203" i="2"/>
  <c r="F205" i="2" s="1"/>
  <c r="E29" i="2" s="1"/>
  <c r="E171" i="2"/>
  <c r="E133" i="2"/>
  <c r="C151" i="2" s="1"/>
  <c r="D107" i="2"/>
  <c r="E107" i="2" s="1"/>
  <c r="E37" i="2"/>
  <c r="E149" i="2"/>
  <c r="D54" i="2"/>
  <c r="E54" i="2" s="1"/>
  <c r="E55" i="2" s="1"/>
  <c r="D56" i="2" s="1"/>
  <c r="C175" i="2"/>
  <c r="E175" i="2" s="1"/>
  <c r="E185" i="2"/>
  <c r="F186" i="2" s="1"/>
  <c r="E27" i="2" s="1"/>
  <c r="E144" i="2"/>
  <c r="D193" i="2"/>
  <c r="E193" i="2" s="1"/>
  <c r="D194" i="2" s="1"/>
  <c r="E194" i="2" s="1"/>
  <c r="F195" i="2" s="1"/>
  <c r="E28" i="2" s="1"/>
  <c r="D118" i="2"/>
  <c r="F108" i="2" l="1"/>
  <c r="E19" i="2"/>
  <c r="C27" i="8"/>
  <c r="C39" i="5"/>
  <c r="C24" i="8" s="1"/>
  <c r="C32" i="8" s="1"/>
  <c r="D132" i="2"/>
  <c r="E132" i="2" s="1"/>
  <c r="E160" i="2"/>
  <c r="D163" i="2" s="1"/>
  <c r="E163" i="2" s="1"/>
  <c r="F164" i="2" s="1"/>
  <c r="E25" i="2" s="1"/>
  <c r="C146" i="2"/>
  <c r="C147" i="2" s="1"/>
  <c r="D148" i="2" s="1"/>
  <c r="E148" i="2" s="1"/>
  <c r="C25" i="8"/>
  <c r="C16" i="8" s="1"/>
  <c r="C22" i="8" s="1"/>
  <c r="C31" i="8" s="1"/>
  <c r="E118" i="2"/>
  <c r="F119" i="2" s="1"/>
  <c r="D136" i="2"/>
  <c r="E136" i="2" s="1"/>
  <c r="D137" i="2" s="1"/>
  <c r="E137" i="2" s="1"/>
  <c r="E18" i="2"/>
  <c r="F181" i="2"/>
  <c r="E26" i="2" s="1"/>
  <c r="D71" i="2"/>
  <c r="C26" i="8" l="1"/>
  <c r="C29" i="8" s="1"/>
  <c r="C33" i="8"/>
  <c r="E138" i="2"/>
  <c r="D139" i="2" s="1"/>
  <c r="E139" i="2" s="1"/>
  <c r="C152" i="2"/>
  <c r="D153" i="2" s="1"/>
  <c r="E153" i="2" s="1"/>
  <c r="E154" i="2" s="1"/>
  <c r="D155" i="2" s="1"/>
  <c r="E155" i="2" s="1"/>
  <c r="F156" i="2" s="1"/>
  <c r="F121" i="2"/>
  <c r="E20" i="2" s="1"/>
  <c r="F140" i="2" l="1"/>
  <c r="E23" i="2" s="1"/>
  <c r="C34" i="8"/>
  <c r="C71" i="2" s="1"/>
  <c r="E24" i="2"/>
  <c r="E22" i="2" l="1"/>
  <c r="F197" i="2"/>
  <c r="E21" i="2" s="1"/>
  <c r="C56" i="2"/>
  <c r="E56" i="2" s="1"/>
  <c r="E57" i="2" s="1"/>
  <c r="D58" i="2" s="1"/>
  <c r="E58" i="2" s="1"/>
  <c r="F59" i="2" s="1"/>
  <c r="E16" i="2" s="1"/>
  <c r="E71" i="2"/>
  <c r="E72" i="2" s="1"/>
  <c r="D73" i="2" s="1"/>
  <c r="E73" i="2" s="1"/>
  <c r="F74" i="2" s="1"/>
  <c r="E17" i="2" l="1"/>
  <c r="F90" i="2"/>
  <c r="F207" i="2" s="1"/>
  <c r="E15" i="2" l="1"/>
  <c r="D212" i="2"/>
  <c r="E212" i="2" s="1"/>
  <c r="F213" i="2" s="1"/>
  <c r="F215" i="2" s="1"/>
  <c r="F224" i="2" s="1"/>
  <c r="E30" i="2" l="1"/>
  <c r="E31" i="2" l="1"/>
  <c r="F15" i="2" s="1"/>
  <c r="F18" i="2" l="1"/>
  <c r="F29" i="2"/>
  <c r="F25" i="2"/>
  <c r="F30" i="2"/>
  <c r="F24" i="2"/>
  <c r="F23" i="2"/>
  <c r="F22" i="2"/>
  <c r="F26" i="2"/>
  <c r="F19" i="2"/>
  <c r="F17" i="2"/>
  <c r="F27" i="2"/>
  <c r="F28" i="2"/>
  <c r="F21" i="2"/>
  <c r="F16" i="2"/>
  <c r="F20" i="2"/>
  <c r="F31" i="2" l="1"/>
</calcChain>
</file>

<file path=xl/comments1.xml><?xml version="1.0" encoding="utf-8"?>
<comments xmlns="http://schemas.openxmlformats.org/spreadsheetml/2006/main">
  <authors>
    <author>Clauber Bridi</author>
  </authors>
  <commentList>
    <comment ref="A13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  <comment ref="D50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1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3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8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3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64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65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66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7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69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71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3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8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79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80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81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86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87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C9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0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06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1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29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30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3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35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9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1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62" authorId="0" shape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167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70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7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74" authorId="0" shape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74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76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76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78" authorId="0" shape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78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185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190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19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191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192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193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02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0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12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B219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  <comment ref="B220" authorId="0" shapeId="0">
      <text>
        <r>
          <rPr>
            <sz val="9"/>
            <color indexed="81"/>
            <rFont val="Tahoma"/>
            <family val="2"/>
          </rPr>
          <t xml:space="preserve">Informar o valor médio da tonelada no destino final 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1" authorId="2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3" authorId="0" shape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6" authorId="0" shape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7" authorId="0" shape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0" authorId="1" shapeId="0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<sst xmlns="http://schemas.openxmlformats.org/spreadsheetml/2006/main" count="477" uniqueCount="302">
  <si>
    <t>hora</t>
  </si>
  <si>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</si>
  <si>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</si>
  <si>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</si>
  <si>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</si>
  <si>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</si>
  <si>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</si>
  <si>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</si>
  <si>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</si>
  <si>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</si>
  <si>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</si>
  <si>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</si>
  <si>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</si>
  <si>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</si>
  <si>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</si>
  <si>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</si>
  <si>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</si>
  <si>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</si>
  <si>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</si>
  <si>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</si>
  <si>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</si>
  <si>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</si>
  <si>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</si>
  <si>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</si>
  <si>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</si>
  <si>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</si>
  <si>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</si>
  <si>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Calça</t>
  </si>
  <si>
    <t>Camiseta</t>
  </si>
  <si>
    <t>Boné</t>
  </si>
  <si>
    <t>Luva de proteção</t>
  </si>
  <si>
    <t>R$</t>
  </si>
  <si>
    <t>Horas Extras (100%)</t>
  </si>
  <si>
    <t>Horas Extras (50%)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</si>
  <si>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</si>
  <si>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</si>
  <si>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</si>
  <si>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</si>
  <si>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</si>
  <si>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</si>
  <si>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</si>
  <si>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</si>
  <si>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</si>
  <si>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</si>
  <si>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</si>
  <si>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</si>
  <si>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</si>
  <si>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</si>
  <si>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</si>
  <si>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</si>
  <si>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</si>
  <si>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</si>
  <si>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</si>
  <si>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</si>
  <si>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Total de mão-de-obra (postos de trabalho)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</si>
  <si>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</si>
  <si>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</si>
  <si>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</si>
  <si>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</si>
  <si>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</si>
  <si>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</si>
  <si>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</si>
  <si>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</si>
  <si>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</si>
  <si>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</si>
  <si>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</si>
  <si>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</si>
  <si>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</si>
  <si>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</si>
  <si>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</si>
  <si>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</si>
  <si>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</si>
  <si>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</si>
  <si>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</si>
  <si>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</si>
  <si>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</si>
  <si>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</si>
  <si>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</si>
  <si>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</si>
  <si>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</si>
  <si>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</si>
  <si>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</si>
  <si>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</si>
  <si>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</si>
  <si>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</si>
  <si>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</si>
  <si>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</si>
  <si>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</si>
  <si>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</si>
  <si>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1.1. Coletor Turno Dia</t>
  </si>
  <si>
    <t>1.3. Motorista Turno do Dia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</si>
  <si>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</si>
  <si>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</si>
  <si>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</si>
  <si>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</si>
  <si>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</si>
  <si>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</si>
  <si>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</si>
  <si>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</si>
  <si>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</si>
  <si>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</si>
  <si>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</si>
  <si>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</si>
  <si>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</si>
  <si>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</si>
  <si>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</si>
  <si>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</si>
  <si>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</si>
  <si>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</si>
  <si>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</si>
  <si>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</si>
  <si>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</si>
  <si>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</si>
  <si>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</si>
  <si>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</si>
  <si>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</si>
  <si>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</si>
  <si>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</si>
  <si>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</si>
  <si>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</si>
  <si>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</si>
  <si>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</si>
  <si>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</si>
  <si>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</si>
  <si>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</si>
  <si>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</si>
  <si>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</si>
  <si>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</si>
  <si>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</si>
  <si>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</si>
  <si>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</si>
  <si>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</si>
  <si>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</si>
  <si>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</si>
  <si>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</si>
  <si>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</si>
  <si>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</si>
  <si>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</si>
  <si>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</si>
  <si>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</si>
  <si>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</si>
  <si>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</si>
  <si>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</si>
  <si>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</si>
  <si>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</si>
  <si>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</si>
  <si>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</si>
  <si>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</si>
  <si>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</si>
  <si>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</si>
  <si>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</si>
  <si>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</si>
  <si>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</si>
  <si>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</si>
  <si>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</si>
  <si>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</si>
  <si>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</si>
  <si>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</si>
  <si>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</si>
  <si>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</si>
  <si>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</si>
  <si>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</si>
  <si>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</si>
  <si>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</si>
  <si>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</si>
  <si>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</si>
  <si>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</si>
  <si>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</si>
  <si>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</si>
  <si>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</si>
  <si>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</si>
  <si>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</si>
  <si>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</si>
  <si>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</si>
  <si>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</si>
  <si>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</si>
  <si>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</si>
  <si>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</si>
  <si>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</si>
  <si>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</si>
  <si>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</si>
  <si>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</si>
  <si>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</si>
  <si>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</si>
  <si>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</si>
  <si>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</si>
  <si>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</si>
  <si>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</si>
  <si>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</si>
  <si>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</si>
  <si>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</si>
  <si>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</si>
  <si>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</si>
  <si>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</si>
  <si>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</si>
  <si>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</si>
  <si>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</si>
  <si>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</si>
  <si>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</si>
  <si>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</si>
  <si>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</si>
  <si>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</si>
  <si>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</si>
  <si>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</si>
  <si>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</si>
  <si>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</si>
  <si>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</si>
  <si>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</si>
  <si>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</si>
  <si>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</si>
  <si>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</si>
  <si>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</si>
  <si>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</si>
  <si>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</si>
  <si>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</si>
  <si>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</si>
  <si>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</si>
  <si>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</si>
  <si>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</si>
  <si>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</si>
  <si>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</si>
  <si>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</si>
  <si>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</si>
  <si>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</si>
  <si>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</si>
  <si>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</si>
  <si>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</si>
  <si>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</si>
  <si>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</si>
  <si>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</si>
  <si>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</si>
  <si>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</si>
  <si>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</si>
  <si>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</si>
  <si>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</si>
  <si>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</si>
  <si>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</si>
  <si>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</si>
  <si>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</si>
  <si>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</si>
  <si>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Fórmula de cálculo da remuneração de capital: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</si>
  <si>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</si>
  <si>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</si>
  <si>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</si>
  <si>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</si>
  <si>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</si>
  <si>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</si>
  <si>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</si>
  <si>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</si>
  <si>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</si>
  <si>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</si>
  <si>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</si>
  <si>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</si>
  <si>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</si>
  <si>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</si>
  <si>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</si>
  <si>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</si>
  <si>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</si>
  <si>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</si>
  <si>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</si>
  <si>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</si>
  <si>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</si>
  <si>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</si>
  <si>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</si>
  <si>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</si>
  <si>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</si>
  <si>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</si>
  <si>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</si>
  <si>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</si>
  <si>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</si>
  <si>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</si>
  <si>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</si>
  <si>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</si>
  <si>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</si>
  <si>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</si>
  <si>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</si>
  <si>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</si>
  <si>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</si>
  <si>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</si>
  <si>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</si>
  <si>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</si>
  <si>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r>
      <t xml:space="preserve">Custo jg. compl. + 2 </t>
    </r>
    <r>
      <rPr>
        <sz val="10"/>
        <rFont val="Arial"/>
        <family val="2"/>
      </rPr>
      <t>recap./ km rodado</t>
    </r>
  </si>
  <si>
    <t>Custo do jogo de pneus 900/20 Borrachudo</t>
  </si>
  <si>
    <t>Custo de aquisição do chassis caminhão</t>
  </si>
  <si>
    <t>1. Preencher somente células em amarelo</t>
  </si>
  <si>
    <t>2. As células azuis deverão ter seus valores preenchidos em outra planilha do arquivo.</t>
  </si>
  <si>
    <t xml:space="preserve">PLANILHA ORÇAMENTARIA </t>
  </si>
  <si>
    <t>COLETA, TRANSPORTE  E DESTINO FINAL DE RESIDUOS SÓLIDOS URBANOS</t>
  </si>
  <si>
    <t>MUNICIPIO DE JÓIA/RS</t>
  </si>
  <si>
    <t>Estoque recuperado início do Período 01-06-2017</t>
  </si>
  <si>
    <t>Estoque recuperado final do Período 31-05-2018</t>
  </si>
  <si>
    <t>Variação Emprego Absoluta de 01-06-2017 a 31-05-2018</t>
  </si>
  <si>
    <t>OBS:</t>
  </si>
  <si>
    <t xml:space="preserve">Os dados dispostos abaixo foram retirados do manual de coleta de residuos sólidos do TCE, pois </t>
  </si>
  <si>
    <t>no links de acesso ao CAGED as informações não são completas.</t>
  </si>
  <si>
    <t>1. Esta planilha deve ser ajustada de acordo com cada caso.</t>
  </si>
  <si>
    <t>CUSTO MENSAL COM A DESTINAÇÃO DOS RESIDUOS</t>
  </si>
  <si>
    <t xml:space="preserve">Custo médio da tonelada (R$/ton) </t>
  </si>
  <si>
    <t>Custo médio da tonelada (R$/ton) - BDI</t>
  </si>
  <si>
    <t>Custo valor mensal destino final (R$/mês)</t>
  </si>
  <si>
    <t xml:space="preserve">Quantidade média de resíduos coletados (ton/mês): </t>
  </si>
  <si>
    <t>3.1. Veículo Coletor Compactador 15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</si>
</sst>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&quot;R$ &quot;#,##0.00_);\(&quot;R$ &quot;#,##0.00\)"/>
    <numFmt numFmtId="166" formatCode="_(* #,##0.00_);_(* \(#,##0.00\);_(* &quot;-&quot;??_);_(@_)"/>
    <numFmt numFmtId="167" formatCode="_(* #,##0_);_(* \(#,##0\);_(* &quot;-&quot;??_);_(@_)"/>
    <numFmt numFmtId="168" formatCode="_(* #,##0.000_);_(* \(#,##0.000\);_(* &quot;-&quot;??_);_(@_)"/>
    <numFmt numFmtId="169" formatCode="&quot;R$ &quot;#,##0.00"/>
    <numFmt numFmtId="170" formatCode="0.0000"/>
    <numFmt numFmtId="171" formatCode="_-* #,##0.000_-;\-* #,##0.000_-;_-* &quot;-&quot;??_-;_-@_-"/>
    <numFmt numFmtId="172" formatCode="_-* #,##0.00_-;\-* #,##0.00_-;_-* &quot;-&quot;?_-;_-@_-"/>
    <numFmt numFmtId="173" formatCode="_-* #,##0_-;\-* #,##0_-;_-* &quot;-&quot;?_-;_-@_-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rgb="FF00B05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5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6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6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6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3" applyFont="1" applyAlignment="1">
      <alignment horizontal="center" vertical="center"/>
    </xf>
    <xf numFmtId="166" fontId="3" fillId="2" borderId="4" xfId="3" applyFont="1" applyFill="1" applyBorder="1" applyAlignment="1">
      <alignment horizontal="center" vertical="center"/>
    </xf>
    <xf numFmtId="166" fontId="3" fillId="2" borderId="4" xfId="3" applyFont="1" applyFill="1" applyBorder="1" applyAlignment="1">
      <alignment vertical="center"/>
    </xf>
    <xf numFmtId="166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3" fillId="0" borderId="6" xfId="3" applyFont="1" applyBorder="1" applyAlignment="1">
      <alignment vertical="center"/>
    </xf>
    <xf numFmtId="166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6" fontId="6" fillId="0" borderId="6" xfId="3" applyFont="1" applyBorder="1" applyAlignment="1">
      <alignment vertical="center"/>
    </xf>
    <xf numFmtId="166" fontId="6" fillId="0" borderId="7" xfId="3" applyFont="1" applyBorder="1" applyAlignment="1">
      <alignment vertical="center"/>
    </xf>
    <xf numFmtId="166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6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3" fillId="0" borderId="0" xfId="3" applyFont="1" applyBorder="1" applyAlignment="1">
      <alignment vertical="center"/>
    </xf>
    <xf numFmtId="166" fontId="5" fillId="0" borderId="0" xfId="3" applyFont="1" applyAlignment="1">
      <alignment vertical="center"/>
    </xf>
    <xf numFmtId="167" fontId="6" fillId="0" borderId="1" xfId="3" applyNumberFormat="1" applyFont="1" applyBorder="1" applyAlignment="1">
      <alignment vertical="center"/>
    </xf>
    <xf numFmtId="166" fontId="6" fillId="0" borderId="0" xfId="3" applyFont="1"/>
    <xf numFmtId="166" fontId="4" fillId="0" borderId="0" xfId="3" applyFont="1" applyAlignment="1">
      <alignment vertical="center"/>
    </xf>
    <xf numFmtId="166" fontId="0" fillId="0" borderId="9" xfId="3" applyFont="1" applyBorder="1" applyAlignment="1">
      <alignment vertical="center"/>
    </xf>
    <xf numFmtId="166" fontId="3" fillId="0" borderId="10" xfId="3" applyFont="1" applyBorder="1" applyAlignment="1">
      <alignment horizontal="center" vertical="center"/>
    </xf>
    <xf numFmtId="166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6" fontId="3" fillId="0" borderId="0" xfId="3" applyFont="1" applyAlignment="1">
      <alignment vertical="center"/>
    </xf>
    <xf numFmtId="166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Continuous" vertical="center"/>
    </xf>
    <xf numFmtId="166" fontId="0" fillId="0" borderId="8" xfId="3" applyFont="1" applyBorder="1" applyAlignment="1">
      <alignment vertical="center"/>
    </xf>
    <xf numFmtId="166" fontId="3" fillId="0" borderId="11" xfId="3" applyFont="1" applyBorder="1" applyAlignment="1">
      <alignment horizontal="right" vertical="center"/>
    </xf>
    <xf numFmtId="166" fontId="0" fillId="0" borderId="12" xfId="3" applyFont="1" applyBorder="1" applyAlignment="1">
      <alignment vertical="center"/>
    </xf>
    <xf numFmtId="166" fontId="6" fillId="0" borderId="1" xfId="3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166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6" fontId="4" fillId="0" borderId="0" xfId="3" applyFont="1" applyBorder="1" applyAlignment="1">
      <alignment vertical="center"/>
    </xf>
    <xf numFmtId="10" fontId="0" fillId="0" borderId="13" xfId="2" applyNumberFormat="1" applyFont="1" applyBorder="1" applyAlignment="1">
      <alignment vertical="center"/>
    </xf>
    <xf numFmtId="166" fontId="6" fillId="0" borderId="0" xfId="3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66" fontId="10" fillId="2" borderId="15" xfId="3" applyFont="1" applyFill="1" applyBorder="1" applyAlignment="1">
      <alignment horizontal="center" vertical="center"/>
    </xf>
    <xf numFmtId="166" fontId="10" fillId="2" borderId="16" xfId="3" applyFont="1" applyFill="1" applyBorder="1" applyAlignment="1">
      <alignment horizontal="center" vertical="center"/>
    </xf>
    <xf numFmtId="166" fontId="3" fillId="0" borderId="17" xfId="3" applyFont="1" applyBorder="1" applyAlignment="1">
      <alignment horizontal="center" vertical="center"/>
    </xf>
    <xf numFmtId="166" fontId="1" fillId="0" borderId="12" xfId="3" applyFont="1" applyBorder="1" applyAlignment="1">
      <alignment horizontal="left" vertical="center"/>
    </xf>
    <xf numFmtId="166" fontId="6" fillId="0" borderId="8" xfId="3" applyFont="1" applyBorder="1" applyAlignment="1">
      <alignment vertical="center"/>
    </xf>
    <xf numFmtId="166" fontId="6" fillId="0" borderId="12" xfId="3" applyFont="1" applyBorder="1" applyAlignment="1">
      <alignment vertical="center"/>
    </xf>
    <xf numFmtId="167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8" xfId="3" applyNumberFormat="1" applyFont="1" applyBorder="1" applyAlignment="1">
      <alignment horizontal="center" vertical="center"/>
    </xf>
    <xf numFmtId="166" fontId="3" fillId="0" borderId="26" xfId="3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166" fontId="6" fillId="0" borderId="17" xfId="3" applyFont="1" applyBorder="1" applyAlignment="1">
      <alignment vertical="center"/>
    </xf>
    <xf numFmtId="166" fontId="6" fillId="0" borderId="9" xfId="3" applyFont="1" applyBorder="1" applyAlignment="1">
      <alignment vertical="center"/>
    </xf>
    <xf numFmtId="0" fontId="0" fillId="0" borderId="9" xfId="0" applyBorder="1" applyAlignment="1">
      <alignment vertical="center"/>
    </xf>
    <xf numFmtId="1" fontId="6" fillId="0" borderId="10" xfId="3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1" fontId="3" fillId="0" borderId="29" xfId="3" applyNumberFormat="1" applyFont="1" applyBorder="1" applyAlignment="1">
      <alignment horizontal="center" vertical="center"/>
    </xf>
    <xf numFmtId="166" fontId="6" fillId="0" borderId="1" xfId="3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6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6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7" fontId="6" fillId="0" borderId="1" xfId="3" applyNumberFormat="1" applyFont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8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7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3" fillId="0" borderId="1" xfId="3" applyFont="1" applyBorder="1" applyAlignment="1">
      <alignment horizontal="center" vertical="center"/>
    </xf>
    <xf numFmtId="166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66" fontId="10" fillId="2" borderId="31" xfId="3" applyFont="1" applyFill="1" applyBorder="1" applyAlignment="1">
      <alignment horizontal="center" vertical="center"/>
    </xf>
    <xf numFmtId="166" fontId="6" fillId="0" borderId="0" xfId="3" applyFont="1" applyFill="1" applyAlignment="1">
      <alignment vertical="center"/>
    </xf>
    <xf numFmtId="166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5" fontId="3" fillId="0" borderId="32" xfId="0" applyNumberFormat="1" applyFont="1" applyBorder="1" applyAlignment="1">
      <alignment vertical="center"/>
    </xf>
    <xf numFmtId="166" fontId="3" fillId="0" borderId="33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3" applyFont="1" applyAlignment="1">
      <alignment horizontal="center" vertical="center"/>
    </xf>
    <xf numFmtId="166" fontId="3" fillId="0" borderId="3" xfId="3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6" fontId="6" fillId="0" borderId="0" xfId="3" applyFont="1" applyAlignment="1">
      <alignment horizontal="right" vertical="center"/>
    </xf>
    <xf numFmtId="166" fontId="3" fillId="2" borderId="7" xfId="3" applyFont="1" applyFill="1" applyBorder="1" applyAlignment="1">
      <alignment horizontal="center" vertical="center"/>
    </xf>
    <xf numFmtId="166" fontId="3" fillId="0" borderId="12" xfId="3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8" xfId="3" applyFont="1" applyBorder="1" applyAlignment="1">
      <alignment vertical="center"/>
    </xf>
    <xf numFmtId="10" fontId="3" fillId="0" borderId="13" xfId="2" applyNumberFormat="1" applyFont="1" applyBorder="1" applyAlignment="1">
      <alignment vertical="center"/>
    </xf>
    <xf numFmtId="166" fontId="3" fillId="0" borderId="36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6" fontId="6" fillId="0" borderId="37" xfId="3" applyFont="1" applyBorder="1" applyAlignment="1">
      <alignment vertical="center"/>
    </xf>
    <xf numFmtId="166" fontId="6" fillId="0" borderId="38" xfId="3" applyFont="1" applyBorder="1" applyAlignment="1">
      <alignment vertical="center"/>
    </xf>
    <xf numFmtId="166" fontId="6" fillId="0" borderId="39" xfId="3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" fontId="6" fillId="0" borderId="35" xfId="3" applyNumberFormat="1" applyFont="1" applyBorder="1" applyAlignment="1">
      <alignment horizontal="center" vertical="center"/>
    </xf>
    <xf numFmtId="166" fontId="3" fillId="0" borderId="12" xfId="3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6" fontId="6" fillId="6" borderId="1" xfId="3" applyFont="1" applyFill="1" applyBorder="1" applyAlignment="1">
      <alignment horizontal="center" vertical="center"/>
    </xf>
    <xf numFmtId="166" fontId="6" fillId="6" borderId="1" xfId="3" applyFont="1" applyFill="1" applyBorder="1" applyAlignment="1">
      <alignment vertical="center"/>
    </xf>
    <xf numFmtId="9" fontId="3" fillId="0" borderId="16" xfId="2" applyFont="1" applyBorder="1" applyAlignment="1">
      <alignment vertical="center"/>
    </xf>
    <xf numFmtId="10" fontId="6" fillId="0" borderId="13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36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6" fontId="0" fillId="0" borderId="0" xfId="3" applyFont="1" applyFill="1" applyBorder="1" applyAlignment="1">
      <alignment vertical="center"/>
    </xf>
    <xf numFmtId="166" fontId="0" fillId="0" borderId="37" xfId="3" applyFont="1" applyFill="1" applyBorder="1" applyAlignment="1">
      <alignment vertical="center"/>
    </xf>
    <xf numFmtId="0" fontId="15" fillId="0" borderId="12" xfId="0" applyFont="1" applyBorder="1"/>
    <xf numFmtId="0" fontId="6" fillId="0" borderId="0" xfId="0" applyFont="1" applyBorder="1"/>
    <xf numFmtId="0" fontId="15" fillId="0" borderId="45" xfId="0" applyFont="1" applyBorder="1"/>
    <xf numFmtId="0" fontId="15" fillId="3" borderId="18" xfId="0" applyFont="1" applyFill="1" applyBorder="1"/>
    <xf numFmtId="0" fontId="15" fillId="0" borderId="21" xfId="0" applyFont="1" applyBorder="1"/>
    <xf numFmtId="0" fontId="15" fillId="0" borderId="46" xfId="0" applyFont="1" applyBorder="1"/>
    <xf numFmtId="0" fontId="15" fillId="0" borderId="18" xfId="0" applyFont="1" applyBorder="1"/>
    <xf numFmtId="0" fontId="15" fillId="0" borderId="26" xfId="0" applyFont="1" applyBorder="1"/>
    <xf numFmtId="2" fontId="16" fillId="7" borderId="1" xfId="0" applyNumberFormat="1" applyFont="1" applyFill="1" applyBorder="1" applyAlignment="1">
      <alignment horizontal="right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2" fontId="16" fillId="7" borderId="34" xfId="0" applyNumberFormat="1" applyFont="1" applyFill="1" applyBorder="1" applyAlignment="1">
      <alignment horizontal="right" vertical="center"/>
    </xf>
    <xf numFmtId="0" fontId="16" fillId="0" borderId="2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0" fontId="16" fillId="0" borderId="18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0" fontId="20" fillId="0" borderId="18" xfId="0" applyNumberFormat="1" applyFont="1" applyBorder="1" applyAlignment="1">
      <alignment horizontal="right" vertical="center"/>
    </xf>
    <xf numFmtId="0" fontId="16" fillId="5" borderId="2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10" fontId="20" fillId="5" borderId="18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6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6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6" fillId="9" borderId="22" xfId="0" applyFont="1" applyFill="1" applyBorder="1" applyAlignment="1">
      <alignment horizontal="left" vertical="center"/>
    </xf>
    <xf numFmtId="0" fontId="20" fillId="9" borderId="34" xfId="0" applyFont="1" applyFill="1" applyBorder="1" applyAlignment="1">
      <alignment horizontal="left" vertical="center"/>
    </xf>
    <xf numFmtId="10" fontId="20" fillId="9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10" fontId="20" fillId="0" borderId="0" xfId="0" applyNumberFormat="1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left" vertical="center"/>
    </xf>
    <xf numFmtId="10" fontId="16" fillId="0" borderId="0" xfId="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left" vertical="center"/>
    </xf>
    <xf numFmtId="10" fontId="16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10" fontId="20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4" fillId="0" borderId="0" xfId="0" applyFont="1" applyBorder="1"/>
    <xf numFmtId="0" fontId="16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3" xfId="0" applyFont="1" applyBorder="1"/>
    <xf numFmtId="0" fontId="5" fillId="0" borderId="21" xfId="0" applyFont="1" applyBorder="1"/>
    <xf numFmtId="0" fontId="5" fillId="3" borderId="18" xfId="0" applyFont="1" applyFill="1" applyBorder="1"/>
    <xf numFmtId="0" fontId="5" fillId="0" borderId="45" xfId="0" applyFont="1" applyBorder="1"/>
    <xf numFmtId="0" fontId="5" fillId="3" borderId="46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7" fillId="0" borderId="46" xfId="0" applyFont="1" applyBorder="1"/>
    <xf numFmtId="0" fontId="7" fillId="0" borderId="36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1" xfId="2" applyFont="1" applyBorder="1"/>
    <xf numFmtId="9" fontId="5" fillId="0" borderId="1" xfId="2" applyFont="1" applyBorder="1" applyAlignment="1">
      <alignment horizontal="center"/>
    </xf>
    <xf numFmtId="9" fontId="5" fillId="0" borderId="18" xfId="2" applyFont="1" applyBorder="1"/>
    <xf numFmtId="0" fontId="5" fillId="0" borderId="20" xfId="0" applyFont="1" applyFill="1" applyBorder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/>
    </xf>
    <xf numFmtId="10" fontId="5" fillId="0" borderId="18" xfId="2" applyNumberFormat="1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18" xfId="0" applyNumberFormat="1" applyFont="1" applyFill="1" applyBorder="1" applyAlignment="1">
      <alignment horizontal="center" vertical="center"/>
    </xf>
    <xf numFmtId="10" fontId="5" fillId="0" borderId="18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8" xfId="0" applyFont="1" applyBorder="1"/>
    <xf numFmtId="10" fontId="5" fillId="3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10" fontId="5" fillId="0" borderId="25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1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8" xfId="2" applyNumberFormat="1" applyFont="1" applyBorder="1" applyAlignment="1">
      <alignment horizontal="right"/>
    </xf>
    <xf numFmtId="10" fontId="5" fillId="0" borderId="22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0" fontId="6" fillId="0" borderId="50" xfId="0" applyFont="1" applyBorder="1"/>
    <xf numFmtId="0" fontId="17" fillId="0" borderId="50" xfId="0" applyFont="1" applyBorder="1" applyAlignment="1">
      <alignment horizontal="justify"/>
    </xf>
    <xf numFmtId="0" fontId="17" fillId="0" borderId="51" xfId="0" applyFont="1" applyBorder="1" applyAlignment="1">
      <alignment horizontal="justify"/>
    </xf>
    <xf numFmtId="0" fontId="14" fillId="10" borderId="49" xfId="0" applyFont="1" applyFill="1" applyBorder="1" applyAlignment="1">
      <alignment horizontal="center"/>
    </xf>
    <xf numFmtId="169" fontId="3" fillId="0" borderId="1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3" fillId="0" borderId="34" xfId="0" applyNumberFormat="1" applyFont="1" applyBorder="1" applyAlignment="1">
      <alignment vertical="center"/>
    </xf>
    <xf numFmtId="166" fontId="3" fillId="0" borderId="9" xfId="3" applyFont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0" borderId="8" xfId="3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168" fontId="6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8" fontId="3" fillId="0" borderId="1" xfId="3" applyNumberFormat="1" applyFont="1" applyBorder="1" applyAlignment="1">
      <alignment horizontal="center" vertical="center"/>
    </xf>
    <xf numFmtId="168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166" fontId="3" fillId="0" borderId="52" xfId="3" applyFont="1" applyBorder="1" applyAlignment="1">
      <alignment horizontal="center" vertical="center"/>
    </xf>
    <xf numFmtId="166" fontId="3" fillId="0" borderId="52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1" xfId="0" applyFont="1" applyBorder="1"/>
    <xf numFmtId="0" fontId="7" fillId="0" borderId="1" xfId="0" applyFont="1" applyBorder="1"/>
    <xf numFmtId="0" fontId="7" fillId="0" borderId="18" xfId="0" applyFont="1" applyBorder="1"/>
    <xf numFmtId="0" fontId="5" fillId="0" borderId="2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1" fontId="21" fillId="0" borderId="18" xfId="3" applyNumberFormat="1" applyFont="1" applyBorder="1" applyAlignment="1">
      <alignment horizontal="center" vertical="center" wrapText="1"/>
    </xf>
    <xf numFmtId="172" fontId="5" fillId="0" borderId="18" xfId="0" applyNumberFormat="1" applyFont="1" applyBorder="1"/>
    <xf numFmtId="2" fontId="5" fillId="0" borderId="18" xfId="0" applyNumberFormat="1" applyFont="1" applyBorder="1"/>
    <xf numFmtId="0" fontId="5" fillId="0" borderId="22" xfId="0" applyFont="1" applyFill="1" applyBorder="1"/>
    <xf numFmtId="0" fontId="5" fillId="0" borderId="34" xfId="0" applyFont="1" applyBorder="1"/>
    <xf numFmtId="172" fontId="5" fillId="3" borderId="18" xfId="0" applyNumberFormat="1" applyFont="1" applyFill="1" applyBorder="1"/>
    <xf numFmtId="172" fontId="5" fillId="0" borderId="35" xfId="0" applyNumberFormat="1" applyFont="1" applyBorder="1"/>
    <xf numFmtId="0" fontId="14" fillId="0" borderId="1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73" fontId="5" fillId="3" borderId="18" xfId="0" applyNumberFormat="1" applyFont="1" applyFill="1" applyBorder="1"/>
    <xf numFmtId="0" fontId="5" fillId="0" borderId="21" xfId="0" applyFont="1" applyBorder="1" applyAlignment="1">
      <alignment horizontal="right"/>
    </xf>
    <xf numFmtId="0" fontId="4" fillId="0" borderId="0" xfId="0" applyFont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5" fillId="0" borderId="18" xfId="0" applyFont="1" applyFill="1" applyBorder="1"/>
    <xf numFmtId="0" fontId="28" fillId="0" borderId="0" xfId="0" applyFont="1"/>
    <xf numFmtId="0" fontId="1" fillId="0" borderId="2" xfId="0" applyFont="1" applyBorder="1" applyAlignment="1">
      <alignment vertical="center"/>
    </xf>
    <xf numFmtId="170" fontId="7" fillId="0" borderId="18" xfId="0" applyNumberFormat="1" applyFont="1" applyBorder="1"/>
    <xf numFmtId="9" fontId="15" fillId="0" borderId="18" xfId="2" applyFont="1" applyBorder="1"/>
    <xf numFmtId="10" fontId="15" fillId="0" borderId="18" xfId="2" applyNumberFormat="1" applyFont="1" applyBorder="1"/>
    <xf numFmtId="9" fontId="7" fillId="0" borderId="29" xfId="2" applyFont="1" applyBorder="1"/>
    <xf numFmtId="0" fontId="5" fillId="0" borderId="53" xfId="0" applyFont="1" applyBorder="1"/>
    <xf numFmtId="0" fontId="1" fillId="0" borderId="1" xfId="0" applyFont="1" applyBorder="1" applyAlignment="1">
      <alignment vertical="center"/>
    </xf>
    <xf numFmtId="166" fontId="1" fillId="0" borderId="0" xfId="3" applyFont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30" fillId="0" borderId="19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166" fontId="31" fillId="11" borderId="0" xfId="3" applyFont="1" applyFill="1" applyAlignment="1">
      <alignment vertical="center"/>
    </xf>
    <xf numFmtId="166" fontId="3" fillId="0" borderId="1" xfId="3" applyFont="1" applyBorder="1" applyAlignment="1">
      <alignment vertical="center"/>
    </xf>
    <xf numFmtId="9" fontId="3" fillId="3" borderId="1" xfId="2" applyFont="1" applyFill="1" applyBorder="1" applyAlignment="1">
      <alignment vertical="center"/>
    </xf>
    <xf numFmtId="166" fontId="6" fillId="3" borderId="1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9" fontId="3" fillId="0" borderId="1" xfId="2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1" fillId="0" borderId="0" xfId="3" applyFont="1" applyFill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6" fontId="3" fillId="0" borderId="12" xfId="3" applyFont="1" applyBorder="1" applyAlignment="1">
      <alignment horizontal="left" vertical="center"/>
    </xf>
    <xf numFmtId="166" fontId="3" fillId="0" borderId="8" xfId="3" applyFont="1" applyBorder="1" applyAlignment="1">
      <alignment horizontal="left" vertical="center"/>
    </xf>
    <xf numFmtId="0" fontId="14" fillId="8" borderId="23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66" fontId="3" fillId="0" borderId="5" xfId="3" applyFont="1" applyBorder="1" applyAlignment="1">
      <alignment horizontal="center" vertical="center"/>
    </xf>
    <xf numFmtId="166" fontId="3" fillId="0" borderId="6" xfId="3" applyFont="1" applyBorder="1" applyAlignment="1">
      <alignment horizontal="center" vertical="center"/>
    </xf>
    <xf numFmtId="166" fontId="3" fillId="0" borderId="41" xfId="3" applyFont="1" applyBorder="1" applyAlignment="1">
      <alignment horizontal="center" vertical="center"/>
    </xf>
    <xf numFmtId="166" fontId="4" fillId="8" borderId="5" xfId="3" applyFont="1" applyFill="1" applyBorder="1" applyAlignment="1">
      <alignment horizontal="center" vertical="center"/>
    </xf>
    <xf numFmtId="166" fontId="4" fillId="8" borderId="6" xfId="3" applyFont="1" applyFill="1" applyBorder="1" applyAlignment="1">
      <alignment horizontal="center" vertical="center"/>
    </xf>
    <xf numFmtId="166" fontId="4" fillId="8" borderId="7" xfId="3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/>
    </xf>
    <xf numFmtId="0" fontId="14" fillId="10" borderId="44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9" fontId="7" fillId="0" borderId="19" xfId="2" applyFont="1" applyBorder="1" applyAlignment="1">
      <alignment horizontal="center"/>
    </xf>
    <xf numFmtId="9" fontId="7" fillId="0" borderId="20" xfId="2" applyFont="1" applyBorder="1" applyAlignment="1">
      <alignment horizontal="center"/>
    </xf>
    <xf numFmtId="9" fontId="7" fillId="0" borderId="10" xfId="2" applyFont="1" applyBorder="1" applyAlignment="1">
      <alignment horizontal="center"/>
    </xf>
    <xf numFmtId="0" fontId="4" fillId="10" borderId="23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0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6"/>
  <sheetViews>
    <sheetView tabSelected="1" view="pageBreakPreview" zoomScale="115" zoomScaleNormal="100" zoomScaleSheetLayoutView="115" workbookViewId="0">
      <selection activeCell="G53" sqref="G53"/>
    </sheetView>
  </sheetViews>
  <sheetFormatPr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1" width="9.140625" style="9"/>
    <col min="12" max="12" width="9.28515625" style="9" bestFit="1" customWidth="1"/>
    <col min="13" max="16384" width="9.140625" style="9"/>
  </cols>
  <sheetData>
    <row r="1" spans="1:7" x14ac:dyDescent="0.2">
      <c r="A1" s="316" t="s">
        <v>286</v>
      </c>
      <c r="B1" s="316"/>
      <c r="C1" s="316"/>
      <c r="D1" s="316"/>
      <c r="E1" s="316"/>
      <c r="F1" s="316"/>
    </row>
    <row r="2" spans="1:7" x14ac:dyDescent="0.2">
      <c r="A2" s="316" t="s">
        <v>287</v>
      </c>
      <c r="B2" s="316"/>
      <c r="C2" s="316"/>
      <c r="D2" s="316"/>
      <c r="E2" s="316"/>
      <c r="F2" s="316"/>
    </row>
    <row r="3" spans="1:7" x14ac:dyDescent="0.2">
      <c r="A3" s="317">
        <v>2019</v>
      </c>
      <c r="B3" s="317"/>
      <c r="C3" s="317"/>
      <c r="D3" s="317"/>
      <c r="E3" s="317"/>
      <c r="F3" s="317"/>
    </row>
    <row r="4" spans="1:7" x14ac:dyDescent="0.2">
      <c r="A4" s="316" t="s">
        <v>288</v>
      </c>
      <c r="B4" s="318"/>
      <c r="C4" s="318"/>
      <c r="D4" s="318"/>
      <c r="E4" s="318"/>
      <c r="F4" s="318"/>
    </row>
    <row r="6" spans="1:7" ht="15.75" x14ac:dyDescent="0.2">
      <c r="A6" s="284" t="s">
        <v>193</v>
      </c>
    </row>
    <row r="7" spans="1:7" s="4" customFormat="1" ht="15.6" customHeight="1" x14ac:dyDescent="0.2">
      <c r="A7" s="313" t="s">
        <v>284</v>
      </c>
      <c r="C7" s="132"/>
      <c r="D7" s="132"/>
      <c r="E7" s="132"/>
      <c r="F7" s="132"/>
      <c r="G7" s="6"/>
    </row>
    <row r="8" spans="1:7" s="4" customFormat="1" ht="15.6" customHeight="1" x14ac:dyDescent="0.2">
      <c r="A8" s="285" t="s">
        <v>285</v>
      </c>
      <c r="B8" s="132"/>
      <c r="C8" s="132"/>
      <c r="D8" s="132"/>
      <c r="E8" s="132"/>
      <c r="F8" s="132"/>
      <c r="G8" s="6"/>
    </row>
    <row r="9" spans="1:7" s="4" customFormat="1" ht="16.5" customHeight="1" thickBot="1" x14ac:dyDescent="0.25">
      <c r="A9" s="7"/>
      <c r="B9" s="5"/>
      <c r="C9" s="5"/>
      <c r="D9" s="6"/>
      <c r="E9" s="6"/>
      <c r="F9" s="6"/>
      <c r="G9" s="6"/>
    </row>
    <row r="10" spans="1:7" s="8" customFormat="1" ht="18" x14ac:dyDescent="0.2">
      <c r="A10" s="323" t="s">
        <v>212</v>
      </c>
      <c r="B10" s="324"/>
      <c r="C10" s="324"/>
      <c r="D10" s="324"/>
      <c r="E10" s="324"/>
      <c r="F10" s="325"/>
      <c r="G10" s="36"/>
    </row>
    <row r="11" spans="1:7" s="8" customFormat="1" ht="21.75" customHeight="1" x14ac:dyDescent="0.2">
      <c r="A11" s="326" t="s">
        <v>40</v>
      </c>
      <c r="B11" s="327"/>
      <c r="C11" s="327"/>
      <c r="D11" s="327"/>
      <c r="E11" s="327"/>
      <c r="F11" s="328"/>
      <c r="G11" s="36"/>
    </row>
    <row r="12" spans="1:7" s="4" customFormat="1" ht="10.9" customHeight="1" thickBot="1" x14ac:dyDescent="0.25">
      <c r="A12" s="144"/>
      <c r="B12" s="145"/>
      <c r="C12" s="145"/>
      <c r="D12" s="146"/>
      <c r="E12" s="146"/>
      <c r="F12" s="147"/>
      <c r="G12" s="6"/>
    </row>
    <row r="13" spans="1:7" s="4" customFormat="1" ht="15.75" customHeight="1" thickBot="1" x14ac:dyDescent="0.25">
      <c r="A13" s="332" t="s">
        <v>192</v>
      </c>
      <c r="B13" s="333"/>
      <c r="C13" s="333"/>
      <c r="D13" s="333"/>
      <c r="E13" s="333"/>
      <c r="F13" s="334"/>
      <c r="G13" s="6"/>
    </row>
    <row r="14" spans="1:7" s="4" customFormat="1" ht="15.75" customHeight="1" x14ac:dyDescent="0.2">
      <c r="A14" s="62" t="s">
        <v>191</v>
      </c>
      <c r="B14" s="40"/>
      <c r="C14" s="40"/>
      <c r="D14" s="243"/>
      <c r="E14" s="110" t="s">
        <v>35</v>
      </c>
      <c r="F14" s="41" t="s">
        <v>2</v>
      </c>
      <c r="G14" s="6"/>
    </row>
    <row r="15" spans="1:7" s="11" customFormat="1" ht="15.75" customHeight="1" x14ac:dyDescent="0.2">
      <c r="A15" s="119" t="str">
        <f>A46</f>
        <v>1. Mão-de-obra</v>
      </c>
      <c r="B15" s="120"/>
      <c r="C15" s="121"/>
      <c r="D15" s="121"/>
      <c r="E15" s="240">
        <f>+F90</f>
        <v>5978.9933321417375</v>
      </c>
      <c r="F15" s="122">
        <f t="shared" ref="F15:F30" si="0">IFERROR(E15/$E$31,0)</f>
        <v>0.32703692391882755</v>
      </c>
      <c r="G15" s="44"/>
    </row>
    <row r="16" spans="1:7" s="4" customFormat="1" ht="15.75" customHeight="1" x14ac:dyDescent="0.2">
      <c r="A16" s="49" t="str">
        <f>A48</f>
        <v>1.1. Coletor Turno Dia</v>
      </c>
      <c r="B16" s="45"/>
      <c r="C16" s="47"/>
      <c r="D16" s="47"/>
      <c r="E16" s="241">
        <f>F59</f>
        <v>3250.6353174175629</v>
      </c>
      <c r="F16" s="56">
        <f t="shared" si="0"/>
        <v>0.17780213422806007</v>
      </c>
      <c r="G16" s="6"/>
    </row>
    <row r="17" spans="1:7" s="4" customFormat="1" ht="15.75" customHeight="1" x14ac:dyDescent="0.2">
      <c r="A17" s="49" t="str">
        <f>A61</f>
        <v>1.3. Motorista Turno do Dia</v>
      </c>
      <c r="B17" s="45"/>
      <c r="C17" s="47"/>
      <c r="D17" s="47"/>
      <c r="E17" s="241">
        <f>F74</f>
        <v>1941.918014724175</v>
      </c>
      <c r="F17" s="56">
        <f t="shared" si="0"/>
        <v>0.10621836465745962</v>
      </c>
      <c r="G17" s="6"/>
    </row>
    <row r="18" spans="1:7" s="4" customFormat="1" ht="15.75" customHeight="1" x14ac:dyDescent="0.2">
      <c r="A18" s="49" t="str">
        <f>A76</f>
        <v>1.5. Vale Transporte</v>
      </c>
      <c r="B18" s="45"/>
      <c r="C18" s="47"/>
      <c r="D18" s="47"/>
      <c r="E18" s="241">
        <f>F82</f>
        <v>104.46000000000001</v>
      </c>
      <c r="F18" s="56">
        <f t="shared" si="0"/>
        <v>5.7137172053549432E-3</v>
      </c>
      <c r="G18" s="6"/>
    </row>
    <row r="19" spans="1:7" s="4" customFormat="1" ht="15.75" customHeight="1" x14ac:dyDescent="0.2">
      <c r="A19" s="49" t="str">
        <f>A84</f>
        <v>1.6. Vale-refeição (diário)</v>
      </c>
      <c r="B19" s="45"/>
      <c r="C19" s="47"/>
      <c r="D19" s="47"/>
      <c r="E19" s="241">
        <f>F88</f>
        <v>681.98</v>
      </c>
      <c r="F19" s="56">
        <f t="shared" si="0"/>
        <v>3.730270782795294E-2</v>
      </c>
      <c r="G19" s="6"/>
    </row>
    <row r="20" spans="1:7" s="11" customFormat="1" ht="15.75" customHeight="1" x14ac:dyDescent="0.2">
      <c r="A20" s="321" t="str">
        <f>A92</f>
        <v>2. Uniformes e Equipamentos de Proteção Individual</v>
      </c>
      <c r="B20" s="322"/>
      <c r="C20" s="322"/>
      <c r="D20" s="121"/>
      <c r="E20" s="240">
        <f>+F121</f>
        <v>132.14583333333334</v>
      </c>
      <c r="F20" s="122">
        <f t="shared" si="0"/>
        <v>7.2280674088898477E-3</v>
      </c>
      <c r="G20" s="44"/>
    </row>
    <row r="21" spans="1:7" s="11" customFormat="1" ht="15.75" customHeight="1" x14ac:dyDescent="0.2">
      <c r="A21" s="130" t="str">
        <f>A123</f>
        <v>3. Veículos e Equipamentos</v>
      </c>
      <c r="B21" s="131"/>
      <c r="C21" s="121"/>
      <c r="D21" s="121"/>
      <c r="E21" s="240">
        <f>+F197</f>
        <v>8535.7028370684529</v>
      </c>
      <c r="F21" s="122">
        <f t="shared" si="0"/>
        <v>0.46688294236985467</v>
      </c>
      <c r="G21" s="44"/>
    </row>
    <row r="22" spans="1:7" s="4" customFormat="1" ht="15.75" customHeight="1" x14ac:dyDescent="0.2">
      <c r="A22" s="63" t="str">
        <f>A124</f>
        <v>3.1. Veículo Coletor Compactador 15 m³</v>
      </c>
      <c r="B22" s="46"/>
      <c r="C22" s="47"/>
      <c r="D22" s="47"/>
      <c r="E22" s="241">
        <f>SUM(E23:E28)</f>
        <v>8535.7028370684529</v>
      </c>
      <c r="F22" s="137">
        <f t="shared" si="0"/>
        <v>0.46688294236985467</v>
      </c>
      <c r="G22" s="6"/>
    </row>
    <row r="23" spans="1:7" s="4" customFormat="1" ht="15.75" customHeight="1" x14ac:dyDescent="0.2">
      <c r="A23" s="63" t="str">
        <f>A126</f>
        <v>3.1.1. Depreciação</v>
      </c>
      <c r="B23" s="46"/>
      <c r="C23" s="47"/>
      <c r="D23" s="47"/>
      <c r="E23" s="241">
        <f>F140</f>
        <v>606.58137500000009</v>
      </c>
      <c r="F23" s="137">
        <f t="shared" si="0"/>
        <v>3.3178579731814657E-2</v>
      </c>
      <c r="G23" s="6"/>
    </row>
    <row r="24" spans="1:7" s="4" customFormat="1" ht="15.75" customHeight="1" x14ac:dyDescent="0.2">
      <c r="A24" s="63" t="str">
        <f>A142</f>
        <v>3.1.2. Remuneração do Capital</v>
      </c>
      <c r="B24" s="46"/>
      <c r="C24" s="47"/>
      <c r="D24" s="47"/>
      <c r="E24" s="241">
        <f>F156</f>
        <v>361.7148596875</v>
      </c>
      <c r="F24" s="137">
        <f t="shared" si="0"/>
        <v>1.9784955171635244E-2</v>
      </c>
      <c r="G24" s="6"/>
    </row>
    <row r="25" spans="1:7" s="4" customFormat="1" ht="15.75" customHeight="1" x14ac:dyDescent="0.2">
      <c r="A25" s="63" t="str">
        <f>A158</f>
        <v>3.1.3. Impostos e Seguros</v>
      </c>
      <c r="B25" s="46"/>
      <c r="C25" s="47"/>
      <c r="D25" s="47"/>
      <c r="E25" s="241">
        <f>F164</f>
        <v>81.361666666666665</v>
      </c>
      <c r="F25" s="137">
        <f t="shared" si="0"/>
        <v>4.4502925013372302E-3</v>
      </c>
      <c r="G25" s="6"/>
    </row>
    <row r="26" spans="1:7" s="4" customFormat="1" ht="15.75" customHeight="1" x14ac:dyDescent="0.2">
      <c r="A26" s="63" t="str">
        <f>A165</f>
        <v>3.1.4. Consumos</v>
      </c>
      <c r="B26" s="46"/>
      <c r="C26" s="47"/>
      <c r="D26" s="47"/>
      <c r="E26" s="241">
        <f>F181</f>
        <v>4519.3463357142864</v>
      </c>
      <c r="F26" s="137">
        <f t="shared" si="0"/>
        <v>0.24719765379406983</v>
      </c>
      <c r="G26" s="6"/>
    </row>
    <row r="27" spans="1:7" s="4" customFormat="1" ht="15.75" customHeight="1" x14ac:dyDescent="0.2">
      <c r="A27" s="63" t="str">
        <f>A183</f>
        <v>3.1.5. Manutenção</v>
      </c>
      <c r="B27" s="46"/>
      <c r="C27" s="47"/>
      <c r="D27" s="47"/>
      <c r="E27" s="241">
        <f>F186</f>
        <v>2678.8</v>
      </c>
      <c r="F27" s="137">
        <f t="shared" si="0"/>
        <v>0.14652408242106857</v>
      </c>
      <c r="G27" s="6"/>
    </row>
    <row r="28" spans="1:7" s="4" customFormat="1" ht="15.75" customHeight="1" x14ac:dyDescent="0.2">
      <c r="A28" s="63" t="str">
        <f>A188</f>
        <v>3.1.6. Pneus</v>
      </c>
      <c r="B28" s="46"/>
      <c r="C28" s="47"/>
      <c r="D28" s="47"/>
      <c r="E28" s="241">
        <f>F195</f>
        <v>287.89859999999999</v>
      </c>
      <c r="F28" s="137">
        <f t="shared" si="0"/>
        <v>1.5747378749929163E-2</v>
      </c>
      <c r="G28" s="6"/>
    </row>
    <row r="29" spans="1:7" s="11" customFormat="1" ht="15.75" customHeight="1" x14ac:dyDescent="0.2">
      <c r="A29" s="130" t="str">
        <f>A199</f>
        <v>4. Ferramentas e Materiais de Consumo</v>
      </c>
      <c r="B29" s="131"/>
      <c r="C29" s="121"/>
      <c r="D29" s="121"/>
      <c r="E29" s="240">
        <f>+F205</f>
        <v>4.8</v>
      </c>
      <c r="F29" s="122">
        <f t="shared" si="0"/>
        <v>2.6254875153842354E-4</v>
      </c>
      <c r="G29" s="44"/>
    </row>
    <row r="30" spans="1:7" s="11" customFormat="1" ht="15.75" customHeight="1" thickBot="1" x14ac:dyDescent="0.25">
      <c r="A30" s="130" t="str">
        <f>A209</f>
        <v>6. Benefícios e Despesas Indiretas - BDI</v>
      </c>
      <c r="B30" s="131"/>
      <c r="C30" s="121"/>
      <c r="D30" s="121"/>
      <c r="E30" s="242">
        <f>+F215</f>
        <v>3630.676888230284</v>
      </c>
      <c r="F30" s="122">
        <f t="shared" si="0"/>
        <v>0.19858951755088952</v>
      </c>
      <c r="G30" s="44"/>
    </row>
    <row r="31" spans="1:7" s="4" customFormat="1" ht="15.75" customHeight="1" thickBot="1" x14ac:dyDescent="0.25">
      <c r="A31" s="42" t="s">
        <v>230</v>
      </c>
      <c r="B31" s="43"/>
      <c r="C31" s="26"/>
      <c r="D31" s="26"/>
      <c r="E31" s="109">
        <f>E15+E20+E21+E29+E30</f>
        <v>18282.318890773808</v>
      </c>
      <c r="F31" s="136">
        <f>F15+F20+F21+F29+F30</f>
        <v>1</v>
      </c>
      <c r="G31" s="6"/>
    </row>
    <row r="32" spans="1:7" ht="13.5" thickBot="1" x14ac:dyDescent="0.25"/>
    <row r="33" spans="1:10" s="4" customFormat="1" ht="15" customHeight="1" thickBot="1" x14ac:dyDescent="0.25">
      <c r="A33" s="332" t="s">
        <v>88</v>
      </c>
      <c r="B33" s="333"/>
      <c r="C33" s="333"/>
      <c r="D33" s="333"/>
      <c r="E33" s="334"/>
      <c r="F33" s="10"/>
      <c r="G33" s="6"/>
    </row>
    <row r="34" spans="1:10" s="4" customFormat="1" ht="15" customHeight="1" thickBot="1" x14ac:dyDescent="0.25">
      <c r="A34" s="329" t="s">
        <v>36</v>
      </c>
      <c r="B34" s="330"/>
      <c r="C34" s="330"/>
      <c r="D34" s="331"/>
      <c r="E34" s="48" t="s">
        <v>37</v>
      </c>
      <c r="F34" s="10"/>
      <c r="G34" s="6"/>
    </row>
    <row r="35" spans="1:10" s="4" customFormat="1" ht="15" customHeight="1" x14ac:dyDescent="0.2">
      <c r="A35" s="71" t="str">
        <f>+A48</f>
        <v>1.1. Coletor Turno Dia</v>
      </c>
      <c r="B35" s="72"/>
      <c r="C35" s="72"/>
      <c r="D35" s="73"/>
      <c r="E35" s="74">
        <f>C58</f>
        <v>2</v>
      </c>
      <c r="F35" s="10"/>
      <c r="G35" s="6"/>
    </row>
    <row r="36" spans="1:10" s="4" customFormat="1" ht="15" customHeight="1" x14ac:dyDescent="0.2">
      <c r="A36" s="65" t="str">
        <f>+A61</f>
        <v>1.3. Motorista Turno do Dia</v>
      </c>
      <c r="B36" s="64"/>
      <c r="C36" s="64"/>
      <c r="D36" s="75"/>
      <c r="E36" s="68">
        <f>C73</f>
        <v>1</v>
      </c>
      <c r="F36" s="10"/>
      <c r="G36" s="6"/>
    </row>
    <row r="37" spans="1:10" s="4" customFormat="1" ht="15" customHeight="1" thickBot="1" x14ac:dyDescent="0.25">
      <c r="A37" s="69" t="s">
        <v>54</v>
      </c>
      <c r="B37" s="70"/>
      <c r="C37" s="70"/>
      <c r="D37" s="76"/>
      <c r="E37" s="77">
        <f>SUM(E35:E36)</f>
        <v>3</v>
      </c>
      <c r="F37" s="10"/>
      <c r="G37" s="6"/>
    </row>
    <row r="38" spans="1:10" s="4" customFormat="1" ht="15" customHeight="1" thickBot="1" x14ac:dyDescent="0.25">
      <c r="A38" s="123"/>
      <c r="B38" s="124"/>
      <c r="C38" s="57"/>
      <c r="D38" s="57"/>
      <c r="E38" s="125"/>
      <c r="F38" s="10"/>
      <c r="G38" s="6"/>
      <c r="H38" s="300"/>
      <c r="I38" s="300"/>
      <c r="J38" s="300"/>
    </row>
    <row r="39" spans="1:10" s="4" customFormat="1" ht="15" customHeight="1" x14ac:dyDescent="0.2">
      <c r="A39" s="319" t="s">
        <v>53</v>
      </c>
      <c r="B39" s="320"/>
      <c r="C39" s="320"/>
      <c r="D39" s="320"/>
      <c r="E39" s="48" t="s">
        <v>37</v>
      </c>
      <c r="F39" s="9"/>
      <c r="G39" s="6"/>
      <c r="H39" s="301"/>
      <c r="I39" s="300"/>
      <c r="J39" s="300"/>
    </row>
    <row r="40" spans="1:10" s="4" customFormat="1" ht="15" customHeight="1" thickBot="1" x14ac:dyDescent="0.25">
      <c r="A40" s="126" t="str">
        <f>+A124</f>
        <v>3.1. Veículo Coletor Compactador 15 m³</v>
      </c>
      <c r="B40" s="127"/>
      <c r="C40" s="127"/>
      <c r="D40" s="128"/>
      <c r="E40" s="129">
        <f>C139</f>
        <v>1</v>
      </c>
      <c r="F40" s="9"/>
      <c r="G40" s="6"/>
      <c r="H40" s="300"/>
      <c r="I40" s="300"/>
      <c r="J40" s="300"/>
    </row>
    <row r="41" spans="1:10" s="4" customFormat="1" x14ac:dyDescent="0.2">
      <c r="A41" s="57"/>
      <c r="B41" s="57"/>
      <c r="C41" s="57"/>
      <c r="D41" s="52"/>
      <c r="E41" s="66"/>
      <c r="F41" s="9"/>
      <c r="G41" s="6"/>
    </row>
    <row r="42" spans="1:10" s="11" customFormat="1" ht="15.75" customHeight="1" x14ac:dyDescent="0.2">
      <c r="A42" s="305" t="s">
        <v>186</v>
      </c>
      <c r="B42" s="306">
        <v>0.5</v>
      </c>
      <c r="C42" s="305"/>
      <c r="D42" s="97"/>
      <c r="E42" s="253"/>
      <c r="G42" s="44"/>
    </row>
    <row r="43" spans="1:10" s="11" customFormat="1" ht="15.75" customHeight="1" x14ac:dyDescent="0.2">
      <c r="A43" s="305"/>
      <c r="B43" s="309"/>
      <c r="C43" s="305"/>
      <c r="D43" s="97"/>
      <c r="E43" s="253"/>
      <c r="G43" s="44"/>
    </row>
    <row r="44" spans="1:10" s="4" customFormat="1" ht="15.75" customHeight="1" x14ac:dyDescent="0.2">
      <c r="A44" s="97" t="s">
        <v>213</v>
      </c>
      <c r="B44" s="307">
        <v>51.07</v>
      </c>
      <c r="C44" s="50" t="s">
        <v>26</v>
      </c>
      <c r="D44" s="308"/>
      <c r="E44" s="308"/>
      <c r="F44" s="9"/>
      <c r="G44" s="6"/>
    </row>
    <row r="45" spans="1:10" s="4" customFormat="1" ht="15.75" customHeight="1" x14ac:dyDescent="0.2">
      <c r="A45" s="52"/>
      <c r="B45" s="311"/>
      <c r="C45" s="57"/>
      <c r="D45" s="310"/>
      <c r="E45" s="310"/>
      <c r="F45" s="9"/>
      <c r="G45" s="6"/>
    </row>
    <row r="46" spans="1:10" ht="13.15" customHeight="1" x14ac:dyDescent="0.2">
      <c r="A46" s="11" t="s">
        <v>44</v>
      </c>
    </row>
    <row r="47" spans="1:10" ht="11.25" customHeight="1" x14ac:dyDescent="0.2"/>
    <row r="48" spans="1:10" ht="13.9" customHeight="1" thickBot="1" x14ac:dyDescent="0.25">
      <c r="A48" s="9" t="s">
        <v>89</v>
      </c>
    </row>
    <row r="49" spans="1:7" ht="13.9" customHeight="1" thickBot="1" x14ac:dyDescent="0.25">
      <c r="A49" s="58" t="s">
        <v>57</v>
      </c>
      <c r="B49" s="59" t="s">
        <v>58</v>
      </c>
      <c r="C49" s="59" t="s">
        <v>37</v>
      </c>
      <c r="D49" s="60" t="s">
        <v>226</v>
      </c>
      <c r="E49" s="60" t="s">
        <v>59</v>
      </c>
      <c r="F49" s="61" t="s">
        <v>60</v>
      </c>
    </row>
    <row r="50" spans="1:7" ht="13.15" customHeight="1" x14ac:dyDescent="0.2">
      <c r="A50" s="13" t="s">
        <v>207</v>
      </c>
      <c r="B50" s="14" t="s">
        <v>7</v>
      </c>
      <c r="C50" s="14">
        <v>1</v>
      </c>
      <c r="D50" s="81">
        <v>1278.2</v>
      </c>
      <c r="E50" s="15">
        <f>C50*D50</f>
        <v>1278.2</v>
      </c>
    </row>
    <row r="51" spans="1:7" x14ac:dyDescent="0.2">
      <c r="A51" s="16" t="s">
        <v>32</v>
      </c>
      <c r="B51" s="17" t="s">
        <v>0</v>
      </c>
      <c r="C51" s="82">
        <v>4</v>
      </c>
      <c r="D51" s="18">
        <f>D50/220*2</f>
        <v>11.620000000000001</v>
      </c>
      <c r="E51" s="18">
        <f>C51*D51</f>
        <v>46.480000000000004</v>
      </c>
    </row>
    <row r="52" spans="1:7" ht="13.15" customHeight="1" x14ac:dyDescent="0.2">
      <c r="A52" s="16" t="s">
        <v>33</v>
      </c>
      <c r="B52" s="17" t="s">
        <v>0</v>
      </c>
      <c r="C52" s="303">
        <v>0</v>
      </c>
      <c r="D52" s="18">
        <f>D50/220*1.5</f>
        <v>8.7149999999999999</v>
      </c>
      <c r="E52" s="18">
        <f>C52*D52</f>
        <v>0</v>
      </c>
    </row>
    <row r="53" spans="1:7" ht="13.15" customHeight="1" x14ac:dyDescent="0.2">
      <c r="A53" s="16" t="s">
        <v>209</v>
      </c>
      <c r="B53" s="17" t="s">
        <v>31</v>
      </c>
      <c r="D53" s="18">
        <f>63/302*(SUM(E51:E52))</f>
        <v>9.6961589403973516</v>
      </c>
      <c r="E53" s="18">
        <f>D53</f>
        <v>9.6961589403973516</v>
      </c>
      <c r="G53" s="295"/>
    </row>
    <row r="54" spans="1:7" x14ac:dyDescent="0.2">
      <c r="A54" s="16" t="s">
        <v>1</v>
      </c>
      <c r="B54" s="17" t="s">
        <v>2</v>
      </c>
      <c r="C54" s="17">
        <v>40</v>
      </c>
      <c r="D54" s="78">
        <f>SUM(E50:E53)</f>
        <v>1334.3761589403973</v>
      </c>
      <c r="E54" s="18">
        <f>C54*D54/100</f>
        <v>533.75046357615895</v>
      </c>
    </row>
    <row r="55" spans="1:7" x14ac:dyDescent="0.2">
      <c r="A55" s="111" t="s">
        <v>3</v>
      </c>
      <c r="B55" s="112"/>
      <c r="C55" s="112"/>
      <c r="D55" s="113"/>
      <c r="E55" s="114">
        <f>SUM(E50:E54)</f>
        <v>1868.1266225165564</v>
      </c>
    </row>
    <row r="56" spans="1:7" x14ac:dyDescent="0.2">
      <c r="A56" s="16" t="s">
        <v>4</v>
      </c>
      <c r="B56" s="17" t="s">
        <v>2</v>
      </c>
      <c r="C56" s="134">
        <f>'2.Encargos Sociais'!$C$34*100</f>
        <v>74.005085000000008</v>
      </c>
      <c r="D56" s="18">
        <f>E55</f>
        <v>1868.1266225165564</v>
      </c>
      <c r="E56" s="18">
        <f>D56*C56/100</f>
        <v>1382.5086949010067</v>
      </c>
    </row>
    <row r="57" spans="1:7" x14ac:dyDescent="0.2">
      <c r="A57" s="111" t="s">
        <v>65</v>
      </c>
      <c r="B57" s="112"/>
      <c r="C57" s="112"/>
      <c r="D57" s="113"/>
      <c r="E57" s="114">
        <f>E55+E56</f>
        <v>3250.6353174175629</v>
      </c>
    </row>
    <row r="58" spans="1:7" ht="13.5" thickBot="1" x14ac:dyDescent="0.25">
      <c r="A58" s="16" t="s">
        <v>5</v>
      </c>
      <c r="B58" s="17" t="s">
        <v>6</v>
      </c>
      <c r="C58" s="80">
        <v>2</v>
      </c>
      <c r="D58" s="18">
        <f>E57</f>
        <v>3250.6353174175629</v>
      </c>
      <c r="E58" s="18">
        <f>C58*D58</f>
        <v>6501.2706348351257</v>
      </c>
      <c r="G58" s="6"/>
    </row>
    <row r="59" spans="1:7" ht="13.9" customHeight="1" thickBot="1" x14ac:dyDescent="0.25">
      <c r="D59" s="117" t="s">
        <v>185</v>
      </c>
      <c r="E59" s="50">
        <f>$B$42</f>
        <v>0.5</v>
      </c>
      <c r="F59" s="118">
        <f>E58*E59</f>
        <v>3250.6353174175629</v>
      </c>
      <c r="G59" s="6"/>
    </row>
    <row r="60" spans="1:7" ht="11.25" customHeight="1" x14ac:dyDescent="0.2"/>
    <row r="61" spans="1:7" ht="13.5" thickBot="1" x14ac:dyDescent="0.25">
      <c r="A61" s="9" t="s">
        <v>90</v>
      </c>
    </row>
    <row r="62" spans="1:7" s="12" customFormat="1" ht="13.15" customHeight="1" thickBot="1" x14ac:dyDescent="0.25">
      <c r="A62" s="58" t="s">
        <v>57</v>
      </c>
      <c r="B62" s="59" t="s">
        <v>58</v>
      </c>
      <c r="C62" s="59" t="s">
        <v>37</v>
      </c>
      <c r="D62" s="60" t="s">
        <v>226</v>
      </c>
      <c r="E62" s="60" t="s">
        <v>59</v>
      </c>
      <c r="F62" s="61" t="s">
        <v>60</v>
      </c>
      <c r="G62" s="10"/>
    </row>
    <row r="63" spans="1:7" x14ac:dyDescent="0.2">
      <c r="A63" s="288" t="s">
        <v>276</v>
      </c>
      <c r="B63" s="14" t="s">
        <v>7</v>
      </c>
      <c r="C63" s="14">
        <v>1</v>
      </c>
      <c r="D63" s="81">
        <v>1761.6</v>
      </c>
      <c r="E63" s="15">
        <f>C63*D63</f>
        <v>1761.6</v>
      </c>
    </row>
    <row r="64" spans="1:7" x14ac:dyDescent="0.2">
      <c r="A64" s="288" t="s">
        <v>277</v>
      </c>
      <c r="B64" s="14" t="s">
        <v>7</v>
      </c>
      <c r="C64" s="14">
        <v>1</v>
      </c>
      <c r="D64" s="81">
        <v>998</v>
      </c>
      <c r="E64" s="15"/>
    </row>
    <row r="65" spans="1:7" x14ac:dyDescent="0.2">
      <c r="A65" s="16" t="s">
        <v>32</v>
      </c>
      <c r="B65" s="17" t="s">
        <v>0</v>
      </c>
      <c r="C65" s="82">
        <v>3</v>
      </c>
      <c r="D65" s="18">
        <f>D63/220*2</f>
        <v>16.014545454545452</v>
      </c>
      <c r="E65" s="18">
        <f>C65*D65</f>
        <v>48.043636363636352</v>
      </c>
    </row>
    <row r="66" spans="1:7" x14ac:dyDescent="0.2">
      <c r="A66" s="16" t="s">
        <v>33</v>
      </c>
      <c r="B66" s="17" t="s">
        <v>0</v>
      </c>
      <c r="C66" s="82">
        <v>0</v>
      </c>
      <c r="D66" s="18">
        <f>D63/220*1.5</f>
        <v>12.010909090909088</v>
      </c>
      <c r="E66" s="18">
        <f>C66*D66</f>
        <v>0</v>
      </c>
    </row>
    <row r="67" spans="1:7" ht="13.15" customHeight="1" x14ac:dyDescent="0.2">
      <c r="A67" s="16" t="s">
        <v>209</v>
      </c>
      <c r="B67" s="17" t="s">
        <v>31</v>
      </c>
      <c r="D67" s="18">
        <f>63/302*(SUM(E65:E66))</f>
        <v>10.022347983142684</v>
      </c>
      <c r="E67" s="18">
        <f>D67</f>
        <v>10.022347983142684</v>
      </c>
      <c r="G67" s="295"/>
    </row>
    <row r="68" spans="1:7" x14ac:dyDescent="0.2">
      <c r="A68" s="16" t="s">
        <v>208</v>
      </c>
      <c r="B68" s="17"/>
      <c r="C68" s="84">
        <v>1</v>
      </c>
      <c r="D68" s="18"/>
      <c r="E68" s="18"/>
    </row>
    <row r="69" spans="1:7" x14ac:dyDescent="0.2">
      <c r="A69" s="16" t="s">
        <v>1</v>
      </c>
      <c r="B69" s="17" t="s">
        <v>2</v>
      </c>
      <c r="C69" s="80">
        <v>40</v>
      </c>
      <c r="D69" s="78">
        <f>IF(C68=2,SUM(E63:E67),IF(C68=1,(SUM(E63:E67))*D64/D63,0))</f>
        <v>1030.896146899458</v>
      </c>
      <c r="E69" s="18">
        <f>C69*D69/100</f>
        <v>412.35845875978322</v>
      </c>
    </row>
    <row r="70" spans="1:7" s="11" customFormat="1" x14ac:dyDescent="0.2">
      <c r="A70" s="97" t="s">
        <v>3</v>
      </c>
      <c r="B70" s="112"/>
      <c r="C70" s="112"/>
      <c r="D70" s="113"/>
      <c r="E70" s="99">
        <f>SUM(E63:E69)</f>
        <v>2232.0244431065621</v>
      </c>
      <c r="F70" s="44"/>
      <c r="G70" s="44"/>
    </row>
    <row r="71" spans="1:7" x14ac:dyDescent="0.2">
      <c r="A71" s="16" t="s">
        <v>4</v>
      </c>
      <c r="B71" s="17" t="s">
        <v>2</v>
      </c>
      <c r="C71" s="134">
        <f>'2.Encargos Sociais'!$C$34*100</f>
        <v>74.005085000000008</v>
      </c>
      <c r="D71" s="18">
        <f>E70</f>
        <v>2232.0244431065621</v>
      </c>
      <c r="E71" s="18">
        <f>D71*C71/100</f>
        <v>1651.8115863417881</v>
      </c>
    </row>
    <row r="72" spans="1:7" s="11" customFormat="1" x14ac:dyDescent="0.2">
      <c r="A72" s="97" t="s">
        <v>241</v>
      </c>
      <c r="B72" s="249"/>
      <c r="C72" s="249"/>
      <c r="D72" s="250"/>
      <c r="E72" s="99">
        <f>E70+E71</f>
        <v>3883.83602944835</v>
      </c>
      <c r="F72" s="44"/>
      <c r="G72" s="44"/>
    </row>
    <row r="73" spans="1:7" ht="13.5" thickBot="1" x14ac:dyDescent="0.25">
      <c r="A73" s="16" t="s">
        <v>5</v>
      </c>
      <c r="B73" s="17" t="s">
        <v>6</v>
      </c>
      <c r="C73" s="80">
        <v>1</v>
      </c>
      <c r="D73" s="18">
        <f>E72</f>
        <v>3883.83602944835</v>
      </c>
      <c r="E73" s="18">
        <f>C73*D73</f>
        <v>3883.83602944835</v>
      </c>
    </row>
    <row r="74" spans="1:7" ht="13.5" thickBot="1" x14ac:dyDescent="0.25">
      <c r="D74" s="117" t="s">
        <v>185</v>
      </c>
      <c r="E74" s="50">
        <f>$B$42</f>
        <v>0.5</v>
      </c>
      <c r="F74" s="118">
        <f>E73*E74</f>
        <v>1941.918014724175</v>
      </c>
    </row>
    <row r="75" spans="1:7" ht="11.25" customHeight="1" x14ac:dyDescent="0.2">
      <c r="G75" s="9"/>
    </row>
    <row r="76" spans="1:7" ht="13.5" thickBot="1" x14ac:dyDescent="0.25">
      <c r="A76" s="9" t="s">
        <v>91</v>
      </c>
      <c r="B76" s="87"/>
      <c r="D76" s="9"/>
      <c r="E76" s="9"/>
      <c r="G76" s="9"/>
    </row>
    <row r="77" spans="1:7" ht="13.5" thickBot="1" x14ac:dyDescent="0.25">
      <c r="A77" s="58" t="s">
        <v>57</v>
      </c>
      <c r="B77" s="59" t="s">
        <v>58</v>
      </c>
      <c r="C77" s="59" t="s">
        <v>37</v>
      </c>
      <c r="D77" s="60" t="s">
        <v>226</v>
      </c>
      <c r="E77" s="60" t="s">
        <v>59</v>
      </c>
      <c r="F77" s="61" t="s">
        <v>60</v>
      </c>
      <c r="G77" s="9"/>
    </row>
    <row r="78" spans="1:7" x14ac:dyDescent="0.2">
      <c r="A78" s="16" t="s">
        <v>83</v>
      </c>
      <c r="B78" s="17" t="s">
        <v>31</v>
      </c>
      <c r="C78" s="88">
        <v>1</v>
      </c>
      <c r="D78" s="86">
        <v>3</v>
      </c>
      <c r="E78" s="18"/>
      <c r="G78" s="7"/>
    </row>
    <row r="79" spans="1:7" x14ac:dyDescent="0.2">
      <c r="A79" s="16" t="s">
        <v>84</v>
      </c>
      <c r="B79" s="17" t="s">
        <v>85</v>
      </c>
      <c r="C79" s="85">
        <v>13</v>
      </c>
      <c r="D79" s="18"/>
      <c r="E79" s="18"/>
      <c r="G79" s="9"/>
    </row>
    <row r="80" spans="1:7" x14ac:dyDescent="0.2">
      <c r="A80" s="16" t="s">
        <v>66</v>
      </c>
      <c r="B80" s="17" t="s">
        <v>8</v>
      </c>
      <c r="C80" s="37">
        <f>$C$79*2*(C58)</f>
        <v>52</v>
      </c>
      <c r="D80" s="15">
        <f>IFERROR((($C$79*2*$D$78)-(E50*0.06*C79/26))/($C$79*2),"-")</f>
        <v>1.5251538461538463</v>
      </c>
      <c r="E80" s="18">
        <f>IFERROR(C80*D80,"-")</f>
        <v>79.308000000000007</v>
      </c>
      <c r="G80" s="9"/>
    </row>
    <row r="81" spans="1:10" ht="13.5" thickBot="1" x14ac:dyDescent="0.25">
      <c r="A81" s="13" t="s">
        <v>41</v>
      </c>
      <c r="B81" s="14" t="s">
        <v>8</v>
      </c>
      <c r="C81" s="37">
        <f>$C$79*2*(C73)</f>
        <v>26</v>
      </c>
      <c r="D81" s="15">
        <f>IFERROR((($C$79*2*$D$78)-(E63*0.06*C79/26))/($C$79*2),"-")</f>
        <v>0.96738461538461573</v>
      </c>
      <c r="E81" s="15">
        <f>IFERROR(C81*D81,"-")</f>
        <v>25.152000000000008</v>
      </c>
      <c r="G81" s="9"/>
      <c r="J81" s="7"/>
    </row>
    <row r="82" spans="1:10" ht="13.5" thickBot="1" x14ac:dyDescent="0.25">
      <c r="F82" s="22">
        <f>SUM(E80:E81)</f>
        <v>104.46000000000001</v>
      </c>
      <c r="G82" s="9"/>
      <c r="I82" s="302"/>
      <c r="J82" s="7"/>
    </row>
    <row r="83" spans="1:10" ht="11.25" customHeight="1" x14ac:dyDescent="0.2">
      <c r="G83" s="9"/>
      <c r="J83" s="7"/>
    </row>
    <row r="84" spans="1:10" ht="13.5" thickBot="1" x14ac:dyDescent="0.25">
      <c r="A84" s="9" t="s">
        <v>113</v>
      </c>
      <c r="F84" s="23"/>
      <c r="G84" s="9"/>
      <c r="I84" s="302"/>
    </row>
    <row r="85" spans="1:10" ht="13.5" thickBot="1" x14ac:dyDescent="0.25">
      <c r="A85" s="58" t="s">
        <v>57</v>
      </c>
      <c r="B85" s="59" t="s">
        <v>58</v>
      </c>
      <c r="C85" s="59" t="s">
        <v>37</v>
      </c>
      <c r="D85" s="60" t="s">
        <v>226</v>
      </c>
      <c r="E85" s="60" t="s">
        <v>59</v>
      </c>
      <c r="F85" s="61" t="s">
        <v>60</v>
      </c>
      <c r="G85" s="9"/>
    </row>
    <row r="86" spans="1:10" x14ac:dyDescent="0.2">
      <c r="A86" s="16" t="str">
        <f>+A80</f>
        <v>Coletor</v>
      </c>
      <c r="B86" s="17" t="s">
        <v>9</v>
      </c>
      <c r="C86" s="96">
        <f>C79*(E35)</f>
        <v>26</v>
      </c>
      <c r="D86" s="89">
        <v>16.73</v>
      </c>
      <c r="E86" s="50">
        <f>C86*D86</f>
        <v>434.98</v>
      </c>
      <c r="F86" s="23"/>
      <c r="G86" s="7"/>
    </row>
    <row r="87" spans="1:10" ht="13.5" thickBot="1" x14ac:dyDescent="0.25">
      <c r="A87" s="16" t="str">
        <f>+A81</f>
        <v>Motorista</v>
      </c>
      <c r="B87" s="17" t="s">
        <v>9</v>
      </c>
      <c r="C87" s="96">
        <f>C79*(E36)</f>
        <v>13</v>
      </c>
      <c r="D87" s="89">
        <v>19</v>
      </c>
      <c r="E87" s="50">
        <f>C87*D87</f>
        <v>247</v>
      </c>
      <c r="F87" s="23"/>
      <c r="G87" s="9"/>
    </row>
    <row r="88" spans="1:10" ht="13.5" thickBot="1" x14ac:dyDescent="0.25">
      <c r="F88" s="22">
        <f>SUM(E86:E87)</f>
        <v>681.98</v>
      </c>
      <c r="G88" s="9"/>
    </row>
    <row r="89" spans="1:10" ht="13.5" thickBot="1" x14ac:dyDescent="0.25">
      <c r="G89" s="9"/>
    </row>
    <row r="90" spans="1:10" ht="13.5" thickBot="1" x14ac:dyDescent="0.25">
      <c r="A90" s="24" t="s">
        <v>86</v>
      </c>
      <c r="B90" s="25"/>
      <c r="C90" s="25"/>
      <c r="D90" s="26"/>
      <c r="E90" s="27"/>
      <c r="F90" s="22">
        <f>F88+F82+F74+F59</f>
        <v>5978.9933321417375</v>
      </c>
      <c r="G90" s="9"/>
    </row>
    <row r="92" spans="1:10" x14ac:dyDescent="0.2">
      <c r="A92" s="11" t="s">
        <v>42</v>
      </c>
      <c r="G92" s="9"/>
    </row>
    <row r="93" spans="1:10" ht="11.25" customHeight="1" x14ac:dyDescent="0.2">
      <c r="G93" s="9"/>
    </row>
    <row r="94" spans="1:10" ht="13.9" customHeight="1" x14ac:dyDescent="0.2">
      <c r="A94" s="9" t="s">
        <v>187</v>
      </c>
      <c r="G94" s="9"/>
    </row>
    <row r="95" spans="1:10" ht="11.25" customHeight="1" thickBot="1" x14ac:dyDescent="0.25">
      <c r="G95" s="9"/>
    </row>
    <row r="96" spans="1:10" ht="27.75" customHeight="1" thickBot="1" x14ac:dyDescent="0.25">
      <c r="A96" s="58" t="s">
        <v>57</v>
      </c>
      <c r="B96" s="59" t="s">
        <v>58</v>
      </c>
      <c r="C96" s="251" t="s">
        <v>243</v>
      </c>
      <c r="D96" s="60" t="s">
        <v>226</v>
      </c>
      <c r="E96" s="60" t="s">
        <v>59</v>
      </c>
      <c r="F96" s="61" t="s">
        <v>60</v>
      </c>
      <c r="G96" s="9"/>
    </row>
    <row r="97" spans="1:7" ht="13.15" customHeight="1" x14ac:dyDescent="0.2">
      <c r="A97" s="16" t="s">
        <v>27</v>
      </c>
      <c r="B97" s="17" t="s">
        <v>9</v>
      </c>
      <c r="C97" s="95">
        <v>6</v>
      </c>
      <c r="D97" s="81">
        <v>45.75</v>
      </c>
      <c r="E97" s="15">
        <f>IFERROR(D97/C97,0)</f>
        <v>7.625</v>
      </c>
      <c r="G97" s="79"/>
    </row>
    <row r="98" spans="1:7" x14ac:dyDescent="0.2">
      <c r="A98" s="16" t="s">
        <v>28</v>
      </c>
      <c r="B98" s="17" t="s">
        <v>9</v>
      </c>
      <c r="C98" s="95">
        <v>6</v>
      </c>
      <c r="D98" s="81">
        <v>27</v>
      </c>
      <c r="E98" s="15">
        <f t="shared" ref="E98:E105" si="1">IFERROR(D98/C98,0)</f>
        <v>4.5</v>
      </c>
      <c r="G98" s="9"/>
    </row>
    <row r="99" spans="1:7" ht="13.15" customHeight="1" x14ac:dyDescent="0.2">
      <c r="A99" s="16" t="s">
        <v>29</v>
      </c>
      <c r="B99" s="17" t="s">
        <v>9</v>
      </c>
      <c r="C99" s="95">
        <v>6</v>
      </c>
      <c r="D99" s="81">
        <v>14</v>
      </c>
      <c r="E99" s="15">
        <f t="shared" si="1"/>
        <v>2.3333333333333335</v>
      </c>
      <c r="G99" s="9"/>
    </row>
    <row r="100" spans="1:7" ht="13.9" customHeight="1" x14ac:dyDescent="0.2">
      <c r="A100" s="16" t="s">
        <v>62</v>
      </c>
      <c r="B100" s="17" t="s">
        <v>45</v>
      </c>
      <c r="C100" s="95">
        <v>6</v>
      </c>
      <c r="D100" s="81">
        <v>50.5</v>
      </c>
      <c r="E100" s="15">
        <f t="shared" si="1"/>
        <v>8.4166666666666661</v>
      </c>
      <c r="G100" s="9"/>
    </row>
    <row r="101" spans="1:7" ht="13.15" customHeight="1" x14ac:dyDescent="0.2">
      <c r="A101" s="16" t="s">
        <v>87</v>
      </c>
      <c r="B101" s="17" t="s">
        <v>45</v>
      </c>
      <c r="C101" s="95">
        <v>0</v>
      </c>
      <c r="D101" s="81">
        <v>3</v>
      </c>
      <c r="E101" s="15">
        <f t="shared" si="1"/>
        <v>0</v>
      </c>
      <c r="G101" s="295"/>
    </row>
    <row r="102" spans="1:7" x14ac:dyDescent="0.2">
      <c r="A102" s="16" t="s">
        <v>61</v>
      </c>
      <c r="B102" s="17" t="s">
        <v>9</v>
      </c>
      <c r="C102" s="95">
        <v>6</v>
      </c>
      <c r="D102" s="81">
        <v>18</v>
      </c>
      <c r="E102" s="15">
        <f t="shared" si="1"/>
        <v>3</v>
      </c>
    </row>
    <row r="103" spans="1:7" s="1" customFormat="1" x14ac:dyDescent="0.2">
      <c r="A103" s="2" t="s">
        <v>10</v>
      </c>
      <c r="B103" s="3" t="s">
        <v>9</v>
      </c>
      <c r="C103" s="95">
        <v>6</v>
      </c>
      <c r="D103" s="81">
        <v>15</v>
      </c>
      <c r="E103" s="15">
        <f t="shared" si="1"/>
        <v>2.5</v>
      </c>
      <c r="F103" s="38"/>
      <c r="G103" s="38"/>
    </row>
    <row r="104" spans="1:7" x14ac:dyDescent="0.2">
      <c r="A104" s="16" t="s">
        <v>30</v>
      </c>
      <c r="B104" s="17" t="s">
        <v>45</v>
      </c>
      <c r="C104" s="95">
        <v>0.25</v>
      </c>
      <c r="D104" s="81">
        <v>11.75</v>
      </c>
      <c r="E104" s="15">
        <f t="shared" si="1"/>
        <v>47</v>
      </c>
    </row>
    <row r="105" spans="1:7" ht="13.15" customHeight="1" x14ac:dyDescent="0.2">
      <c r="A105" s="16" t="s">
        <v>56</v>
      </c>
      <c r="B105" s="17" t="s">
        <v>46</v>
      </c>
      <c r="C105" s="95">
        <v>1</v>
      </c>
      <c r="D105" s="81">
        <v>30</v>
      </c>
      <c r="E105" s="15">
        <f t="shared" si="1"/>
        <v>30</v>
      </c>
    </row>
    <row r="106" spans="1:7" x14ac:dyDescent="0.2">
      <c r="A106" s="16" t="s">
        <v>188</v>
      </c>
      <c r="B106" s="17" t="s">
        <v>114</v>
      </c>
      <c r="C106" s="115">
        <v>1</v>
      </c>
      <c r="D106" s="81">
        <v>0</v>
      </c>
      <c r="E106" s="18">
        <f>C106*D106</f>
        <v>0</v>
      </c>
    </row>
    <row r="107" spans="1:7" ht="13.5" thickBot="1" x14ac:dyDescent="0.25">
      <c r="A107" s="16" t="s">
        <v>5</v>
      </c>
      <c r="B107" s="17" t="s">
        <v>6</v>
      </c>
      <c r="C107" s="67">
        <f>E35</f>
        <v>2</v>
      </c>
      <c r="D107" s="18">
        <f>+SUM(E97:E106)</f>
        <v>105.375</v>
      </c>
      <c r="E107" s="18">
        <f>C107*D107</f>
        <v>210.75</v>
      </c>
    </row>
    <row r="108" spans="1:7" ht="13.5" thickBot="1" x14ac:dyDescent="0.25">
      <c r="D108" s="117" t="s">
        <v>185</v>
      </c>
      <c r="E108" s="50">
        <f>$B$42</f>
        <v>0.5</v>
      </c>
      <c r="F108" s="118">
        <f>E107*E108</f>
        <v>105.375</v>
      </c>
    </row>
    <row r="109" spans="1:7" ht="11.25" customHeight="1" x14ac:dyDescent="0.2"/>
    <row r="110" spans="1:7" ht="13.9" customHeight="1" x14ac:dyDescent="0.2">
      <c r="A110" s="9" t="s">
        <v>189</v>
      </c>
    </row>
    <row r="111" spans="1:7" ht="11.25" customHeight="1" thickBot="1" x14ac:dyDescent="0.25"/>
    <row r="112" spans="1:7" ht="24.75" thickBot="1" x14ac:dyDescent="0.25">
      <c r="A112" s="58" t="s">
        <v>57</v>
      </c>
      <c r="B112" s="59" t="s">
        <v>58</v>
      </c>
      <c r="C112" s="251" t="s">
        <v>243</v>
      </c>
      <c r="D112" s="60" t="s">
        <v>226</v>
      </c>
      <c r="E112" s="60" t="s">
        <v>59</v>
      </c>
      <c r="F112" s="61" t="s">
        <v>60</v>
      </c>
    </row>
    <row r="113" spans="1:7" x14ac:dyDescent="0.2">
      <c r="A113" s="16" t="s">
        <v>27</v>
      </c>
      <c r="B113" s="17" t="s">
        <v>9</v>
      </c>
      <c r="C113" s="95">
        <v>6</v>
      </c>
      <c r="D113" s="18">
        <f>+D97</f>
        <v>45.75</v>
      </c>
      <c r="E113" s="15">
        <f>IFERROR(D113/C113,0)</f>
        <v>7.625</v>
      </c>
    </row>
    <row r="114" spans="1:7" x14ac:dyDescent="0.2">
      <c r="A114" s="16" t="s">
        <v>28</v>
      </c>
      <c r="B114" s="17" t="s">
        <v>9</v>
      </c>
      <c r="C114" s="95">
        <v>6</v>
      </c>
      <c r="D114" s="18">
        <f>+D98</f>
        <v>27</v>
      </c>
      <c r="E114" s="15">
        <f>IFERROR(D114/C114,0)</f>
        <v>4.5</v>
      </c>
    </row>
    <row r="115" spans="1:7" x14ac:dyDescent="0.2">
      <c r="A115" s="16" t="s">
        <v>62</v>
      </c>
      <c r="B115" s="17" t="s">
        <v>45</v>
      </c>
      <c r="C115" s="95">
        <v>6</v>
      </c>
      <c r="D115" s="18">
        <f>+D100</f>
        <v>50.5</v>
      </c>
      <c r="E115" s="15">
        <f>IFERROR(D115/C115,0)</f>
        <v>8.4166666666666661</v>
      </c>
    </row>
    <row r="116" spans="1:7" x14ac:dyDescent="0.2">
      <c r="A116" s="16" t="s">
        <v>61</v>
      </c>
      <c r="B116" s="17" t="s">
        <v>9</v>
      </c>
      <c r="C116" s="95">
        <v>6</v>
      </c>
      <c r="D116" s="18">
        <f>+D102</f>
        <v>18</v>
      </c>
      <c r="E116" s="15">
        <f>IFERROR(D116/C116,0)</f>
        <v>3</v>
      </c>
      <c r="G116" s="7"/>
    </row>
    <row r="117" spans="1:7" x14ac:dyDescent="0.2">
      <c r="A117" s="16" t="s">
        <v>56</v>
      </c>
      <c r="B117" s="17" t="s">
        <v>46</v>
      </c>
      <c r="C117" s="95">
        <v>1</v>
      </c>
      <c r="D117" s="18">
        <f>+D105</f>
        <v>30</v>
      </c>
      <c r="E117" s="15">
        <f>IFERROR(D117/C117,0)</f>
        <v>30</v>
      </c>
      <c r="G117" s="9"/>
    </row>
    <row r="118" spans="1:7" ht="13.5" thickBot="1" x14ac:dyDescent="0.25">
      <c r="A118" s="16" t="s">
        <v>5</v>
      </c>
      <c r="B118" s="17" t="s">
        <v>6</v>
      </c>
      <c r="C118" s="67">
        <f>E36</f>
        <v>1</v>
      </c>
      <c r="D118" s="18">
        <f>+SUM(E113:E117)</f>
        <v>53.541666666666664</v>
      </c>
      <c r="E118" s="18">
        <f>C118*D118</f>
        <v>53.541666666666664</v>
      </c>
      <c r="G118" s="9"/>
    </row>
    <row r="119" spans="1:7" ht="13.5" thickBot="1" x14ac:dyDescent="0.25">
      <c r="D119" s="117" t="s">
        <v>185</v>
      </c>
      <c r="E119" s="50">
        <f>$B$42</f>
        <v>0.5</v>
      </c>
      <c r="F119" s="118">
        <f>E118*E119</f>
        <v>26.770833333333332</v>
      </c>
      <c r="G119" s="9"/>
    </row>
    <row r="120" spans="1:7" ht="11.25" customHeight="1" thickBot="1" x14ac:dyDescent="0.25">
      <c r="G120" s="9"/>
    </row>
    <row r="121" spans="1:7" ht="13.5" thickBot="1" x14ac:dyDescent="0.25">
      <c r="A121" s="24" t="s">
        <v>190</v>
      </c>
      <c r="B121" s="28"/>
      <c r="C121" s="28"/>
      <c r="D121" s="29"/>
      <c r="E121" s="30"/>
      <c r="F121" s="21">
        <f>+F108+F119</f>
        <v>132.14583333333334</v>
      </c>
      <c r="G121" s="9"/>
    </row>
    <row r="122" spans="1:7" ht="11.25" customHeight="1" x14ac:dyDescent="0.2">
      <c r="G122" s="9"/>
    </row>
    <row r="123" spans="1:7" x14ac:dyDescent="0.2">
      <c r="A123" s="11" t="s">
        <v>51</v>
      </c>
      <c r="G123" s="9"/>
    </row>
    <row r="124" spans="1:7" x14ac:dyDescent="0.2">
      <c r="A124" s="7" t="s">
        <v>301</v>
      </c>
      <c r="G124" s="7"/>
    </row>
    <row r="125" spans="1:7" ht="11.25" customHeight="1" x14ac:dyDescent="0.2">
      <c r="G125" s="9"/>
    </row>
    <row r="126" spans="1:7" ht="13.5" thickBot="1" x14ac:dyDescent="0.25">
      <c r="A126" s="101" t="s">
        <v>43</v>
      </c>
      <c r="G126" s="9"/>
    </row>
    <row r="127" spans="1:7" ht="13.5" thickBot="1" x14ac:dyDescent="0.25">
      <c r="A127" s="58" t="s">
        <v>57</v>
      </c>
      <c r="B127" s="59" t="s">
        <v>58</v>
      </c>
      <c r="C127" s="59" t="s">
        <v>37</v>
      </c>
      <c r="D127" s="60" t="s">
        <v>226</v>
      </c>
      <c r="E127" s="60" t="s">
        <v>59</v>
      </c>
      <c r="F127" s="61" t="s">
        <v>60</v>
      </c>
      <c r="G127" s="9"/>
    </row>
    <row r="128" spans="1:7" x14ac:dyDescent="0.2">
      <c r="A128" s="288" t="s">
        <v>283</v>
      </c>
      <c r="B128" s="14" t="s">
        <v>9</v>
      </c>
      <c r="C128" s="257">
        <v>1</v>
      </c>
      <c r="D128" s="81">
        <v>183350</v>
      </c>
      <c r="E128" s="15">
        <f>C128*D128</f>
        <v>183350</v>
      </c>
      <c r="G128" s="7"/>
    </row>
    <row r="129" spans="1:10" x14ac:dyDescent="0.2">
      <c r="A129" s="16" t="s">
        <v>92</v>
      </c>
      <c r="B129" s="17" t="s">
        <v>93</v>
      </c>
      <c r="C129" s="80">
        <v>10</v>
      </c>
      <c r="D129" s="78"/>
      <c r="E129" s="18"/>
      <c r="G129" s="9"/>
    </row>
    <row r="130" spans="1:10" x14ac:dyDescent="0.2">
      <c r="A130" s="16" t="s">
        <v>202</v>
      </c>
      <c r="B130" s="17" t="s">
        <v>93</v>
      </c>
      <c r="C130" s="80">
        <v>0</v>
      </c>
      <c r="D130" s="18"/>
      <c r="E130" s="18"/>
      <c r="F130" s="20"/>
      <c r="I130" s="79"/>
      <c r="J130" s="79"/>
    </row>
    <row r="131" spans="1:10" x14ac:dyDescent="0.2">
      <c r="A131" s="16" t="s">
        <v>96</v>
      </c>
      <c r="B131" s="17" t="s">
        <v>2</v>
      </c>
      <c r="C131" s="134">
        <v>65.180000000000007</v>
      </c>
      <c r="D131" s="18">
        <f>E128</f>
        <v>183350</v>
      </c>
      <c r="E131" s="18">
        <f>C131*D131/100</f>
        <v>119507.53000000001</v>
      </c>
    </row>
    <row r="132" spans="1:10" ht="13.5" thickBot="1" x14ac:dyDescent="0.25">
      <c r="A132" s="260" t="s">
        <v>47</v>
      </c>
      <c r="B132" s="261" t="s">
        <v>7</v>
      </c>
      <c r="C132" s="261">
        <f>C129*12</f>
        <v>120</v>
      </c>
      <c r="D132" s="262">
        <f>IF(C130&lt;=C129,E131,0)</f>
        <v>119507.53000000001</v>
      </c>
      <c r="E132" s="262">
        <f>IFERROR(D132/C132,0)</f>
        <v>995.89608333333342</v>
      </c>
    </row>
    <row r="133" spans="1:10" ht="13.5" thickTop="1" x14ac:dyDescent="0.2">
      <c r="A133" s="288" t="s">
        <v>97</v>
      </c>
      <c r="B133" s="14" t="s">
        <v>9</v>
      </c>
      <c r="C133" s="14">
        <f>C128</f>
        <v>1</v>
      </c>
      <c r="D133" s="81">
        <v>40000</v>
      </c>
      <c r="E133" s="15">
        <f>C133*D133</f>
        <v>40000</v>
      </c>
      <c r="G133" s="9"/>
    </row>
    <row r="134" spans="1:10" x14ac:dyDescent="0.2">
      <c r="A134" s="16" t="s">
        <v>94</v>
      </c>
      <c r="B134" s="17" t="s">
        <v>93</v>
      </c>
      <c r="C134" s="80">
        <v>10</v>
      </c>
      <c r="D134" s="18"/>
      <c r="E134" s="18"/>
    </row>
    <row r="135" spans="1:10" x14ac:dyDescent="0.2">
      <c r="A135" s="16" t="s">
        <v>203</v>
      </c>
      <c r="B135" s="17" t="s">
        <v>93</v>
      </c>
      <c r="C135" s="80">
        <v>0</v>
      </c>
      <c r="D135" s="18"/>
      <c r="E135" s="18"/>
      <c r="F135" s="20"/>
      <c r="I135" s="79"/>
      <c r="J135" s="79"/>
    </row>
    <row r="136" spans="1:10" x14ac:dyDescent="0.2">
      <c r="A136" s="16" t="s">
        <v>95</v>
      </c>
      <c r="B136" s="17" t="s">
        <v>2</v>
      </c>
      <c r="C136" s="135">
        <f>IFERROR(VLOOKUP(C134,'5. Depreciação'!A3:B17,2,FALSE),0)</f>
        <v>65.180000000000007</v>
      </c>
      <c r="D136" s="18">
        <f>E133</f>
        <v>40000</v>
      </c>
      <c r="E136" s="18">
        <f>C136*D136/100</f>
        <v>26072.000000000004</v>
      </c>
    </row>
    <row r="137" spans="1:10" x14ac:dyDescent="0.2">
      <c r="A137" s="97" t="s">
        <v>98</v>
      </c>
      <c r="B137" s="98" t="s">
        <v>7</v>
      </c>
      <c r="C137" s="98">
        <f>C134*12</f>
        <v>120</v>
      </c>
      <c r="D137" s="99">
        <f>IF(C135&lt;=C134,E136,0)</f>
        <v>26072.000000000004</v>
      </c>
      <c r="E137" s="99">
        <f>IFERROR(D137/C137,0)</f>
        <v>217.26666666666671</v>
      </c>
    </row>
    <row r="138" spans="1:10" x14ac:dyDescent="0.2">
      <c r="A138" s="111" t="s">
        <v>246</v>
      </c>
      <c r="B138" s="112"/>
      <c r="C138" s="112"/>
      <c r="D138" s="113"/>
      <c r="E138" s="114">
        <f>E132+E137</f>
        <v>1213.1627500000002</v>
      </c>
    </row>
    <row r="139" spans="1:10" ht="13.5" thickBot="1" x14ac:dyDescent="0.25">
      <c r="A139" s="97" t="s">
        <v>247</v>
      </c>
      <c r="B139" s="98" t="s">
        <v>9</v>
      </c>
      <c r="C139" s="80">
        <v>1</v>
      </c>
      <c r="D139" s="99">
        <f>E138</f>
        <v>1213.1627500000002</v>
      </c>
      <c r="E139" s="114">
        <f>C139*D139</f>
        <v>1213.1627500000002</v>
      </c>
    </row>
    <row r="140" spans="1:10" ht="13.5" thickBot="1" x14ac:dyDescent="0.25">
      <c r="A140" s="256"/>
      <c r="B140" s="256"/>
      <c r="C140" s="256"/>
      <c r="D140" s="117" t="s">
        <v>185</v>
      </c>
      <c r="E140" s="50">
        <f>$B$42</f>
        <v>0.5</v>
      </c>
      <c r="F140" s="21">
        <f>E139*E140</f>
        <v>606.58137500000009</v>
      </c>
    </row>
    <row r="141" spans="1:10" ht="11.25" customHeight="1" x14ac:dyDescent="0.2"/>
    <row r="142" spans="1:10" ht="13.5" thickBot="1" x14ac:dyDescent="0.25">
      <c r="A142" s="101" t="s">
        <v>103</v>
      </c>
    </row>
    <row r="143" spans="1:10" ht="13.5" thickBot="1" x14ac:dyDescent="0.25">
      <c r="A143" s="103" t="s">
        <v>57</v>
      </c>
      <c r="B143" s="104" t="s">
        <v>58</v>
      </c>
      <c r="C143" s="104" t="s">
        <v>37</v>
      </c>
      <c r="D143" s="60" t="s">
        <v>226</v>
      </c>
      <c r="E143" s="105" t="s">
        <v>59</v>
      </c>
      <c r="F143" s="61" t="s">
        <v>60</v>
      </c>
      <c r="I143" s="79"/>
      <c r="J143" s="79"/>
    </row>
    <row r="144" spans="1:10" x14ac:dyDescent="0.2">
      <c r="A144" s="16" t="s">
        <v>101</v>
      </c>
      <c r="B144" s="17" t="s">
        <v>9</v>
      </c>
      <c r="C144" s="257">
        <v>1</v>
      </c>
      <c r="D144" s="18">
        <f>D128</f>
        <v>183350</v>
      </c>
      <c r="E144" s="18">
        <f>C144*D144</f>
        <v>183350</v>
      </c>
      <c r="F144" s="20"/>
      <c r="G144" s="295"/>
      <c r="I144" s="79"/>
      <c r="J144" s="79"/>
    </row>
    <row r="145" spans="1:10" x14ac:dyDescent="0.2">
      <c r="A145" s="16" t="s">
        <v>206</v>
      </c>
      <c r="B145" s="17" t="s">
        <v>2</v>
      </c>
      <c r="C145" s="80">
        <v>5.5</v>
      </c>
      <c r="D145" s="18"/>
      <c r="E145" s="18"/>
      <c r="F145" s="20"/>
      <c r="I145" s="79"/>
      <c r="J145" s="79"/>
    </row>
    <row r="146" spans="1:10" x14ac:dyDescent="0.2">
      <c r="A146" s="16" t="s">
        <v>204</v>
      </c>
      <c r="B146" s="17" t="s">
        <v>31</v>
      </c>
      <c r="C146" s="142">
        <f>IFERROR(IF(C130&lt;=C129,E128-(C131/(100*C129)*C130)*E128,E128-E131),0)</f>
        <v>183350</v>
      </c>
      <c r="D146" s="18"/>
      <c r="E146" s="18"/>
      <c r="F146" s="20"/>
      <c r="I146" s="79"/>
      <c r="J146" s="79"/>
    </row>
    <row r="147" spans="1:10" x14ac:dyDescent="0.2">
      <c r="A147" s="16" t="s">
        <v>106</v>
      </c>
      <c r="B147" s="17" t="s">
        <v>31</v>
      </c>
      <c r="C147" s="78">
        <f>IFERROR(IF(C130&gt;=C129,C146,((((C146)-(E128-E131))*(((C129-C130)+1)/(2*(C129-C130))))+(E128-E131))),0)</f>
        <v>129571.6115</v>
      </c>
      <c r="D147" s="18"/>
      <c r="E147" s="18"/>
      <c r="F147" s="20"/>
      <c r="I147" s="79"/>
      <c r="J147" s="79"/>
    </row>
    <row r="148" spans="1:10" ht="13.5" thickBot="1" x14ac:dyDescent="0.25">
      <c r="A148" s="260" t="s">
        <v>107</v>
      </c>
      <c r="B148" s="261" t="s">
        <v>31</v>
      </c>
      <c r="C148" s="261"/>
      <c r="D148" s="263">
        <f>C145*C147/12/100</f>
        <v>593.86988604166663</v>
      </c>
      <c r="E148" s="262">
        <f>D148</f>
        <v>593.86988604166663</v>
      </c>
      <c r="F148" s="20"/>
      <c r="G148" s="304"/>
      <c r="I148" s="79"/>
      <c r="J148" s="79"/>
    </row>
    <row r="149" spans="1:10" ht="13.5" thickTop="1" x14ac:dyDescent="0.2">
      <c r="A149" s="13" t="s">
        <v>102</v>
      </c>
      <c r="B149" s="14" t="s">
        <v>9</v>
      </c>
      <c r="C149" s="14">
        <f>C133</f>
        <v>1</v>
      </c>
      <c r="D149" s="15">
        <v>140000</v>
      </c>
      <c r="E149" s="15">
        <f>C149*D149</f>
        <v>140000</v>
      </c>
      <c r="F149" s="20"/>
      <c r="G149" s="295"/>
      <c r="I149" s="79"/>
      <c r="J149" s="79"/>
    </row>
    <row r="150" spans="1:10" x14ac:dyDescent="0.2">
      <c r="A150" s="16" t="s">
        <v>206</v>
      </c>
      <c r="B150" s="17" t="s">
        <v>2</v>
      </c>
      <c r="C150" s="258">
        <f>C145</f>
        <v>5.5</v>
      </c>
      <c r="D150" s="18"/>
      <c r="E150" s="18"/>
      <c r="F150" s="20"/>
      <c r="I150" s="79"/>
      <c r="J150" s="79"/>
    </row>
    <row r="151" spans="1:10" x14ac:dyDescent="0.2">
      <c r="A151" s="16" t="s">
        <v>205</v>
      </c>
      <c r="B151" s="17" t="s">
        <v>31</v>
      </c>
      <c r="C151" s="142">
        <f>IFERROR(IF(C135&lt;=C134,E133-(C136/(100*C134)*C135)*E133,E133-E136),0)</f>
        <v>40000</v>
      </c>
      <c r="D151" s="18"/>
      <c r="E151" s="18"/>
      <c r="F151" s="20"/>
      <c r="I151" s="79"/>
      <c r="J151" s="79"/>
    </row>
    <row r="152" spans="1:10" x14ac:dyDescent="0.2">
      <c r="A152" s="16" t="s">
        <v>108</v>
      </c>
      <c r="B152" s="17" t="s">
        <v>31</v>
      </c>
      <c r="C152" s="78">
        <f>IFERROR(IF(C135&gt;=C134,C151,((((C151)-(E133-E136))*(((C134-C135)+1)/(2*(C134-C135))))+(E133-E136))),0)</f>
        <v>28267.599999999999</v>
      </c>
      <c r="D152" s="18"/>
      <c r="E152" s="18"/>
      <c r="F152" s="20"/>
      <c r="I152" s="79"/>
      <c r="J152" s="79"/>
    </row>
    <row r="153" spans="1:10" x14ac:dyDescent="0.2">
      <c r="A153" s="97" t="s">
        <v>105</v>
      </c>
      <c r="B153" s="98" t="s">
        <v>31</v>
      </c>
      <c r="C153" s="98"/>
      <c r="D153" s="107">
        <f>C150*C152/12/100</f>
        <v>129.55983333333333</v>
      </c>
      <c r="E153" s="99">
        <f>D153</f>
        <v>129.55983333333333</v>
      </c>
      <c r="F153" s="20"/>
      <c r="I153" s="79"/>
      <c r="J153" s="79"/>
    </row>
    <row r="154" spans="1:10" x14ac:dyDescent="0.2">
      <c r="A154" s="111" t="s">
        <v>246</v>
      </c>
      <c r="B154" s="112"/>
      <c r="C154" s="112"/>
      <c r="D154" s="113"/>
      <c r="E154" s="114">
        <f>E148+E153</f>
        <v>723.42971937499999</v>
      </c>
      <c r="F154" s="20"/>
      <c r="I154" s="79"/>
      <c r="J154" s="79"/>
    </row>
    <row r="155" spans="1:10" ht="13.5" thickBot="1" x14ac:dyDescent="0.25">
      <c r="A155" s="97" t="s">
        <v>247</v>
      </c>
      <c r="B155" s="98" t="s">
        <v>9</v>
      </c>
      <c r="C155" s="258">
        <f>C139</f>
        <v>1</v>
      </c>
      <c r="D155" s="99">
        <f>E154</f>
        <v>723.42971937499999</v>
      </c>
      <c r="E155" s="114">
        <f>C155*D155</f>
        <v>723.42971937499999</v>
      </c>
      <c r="F155" s="20"/>
      <c r="I155" s="79"/>
      <c r="J155" s="79"/>
    </row>
    <row r="156" spans="1:10" ht="13.5" thickBot="1" x14ac:dyDescent="0.25">
      <c r="C156" s="19"/>
      <c r="D156" s="117" t="s">
        <v>185</v>
      </c>
      <c r="E156" s="50">
        <f>$B$42</f>
        <v>0.5</v>
      </c>
      <c r="F156" s="21">
        <f>E155*E156</f>
        <v>361.7148596875</v>
      </c>
      <c r="I156" s="79"/>
      <c r="J156" s="79"/>
    </row>
    <row r="157" spans="1:10" ht="11.25" customHeight="1" x14ac:dyDescent="0.2">
      <c r="I157" s="79"/>
      <c r="J157" s="79"/>
    </row>
    <row r="158" spans="1:10" ht="13.5" thickBot="1" x14ac:dyDescent="0.25">
      <c r="A158" s="9" t="s">
        <v>48</v>
      </c>
      <c r="I158" s="79"/>
      <c r="J158" s="79"/>
    </row>
    <row r="159" spans="1:10" ht="13.5" thickBot="1" x14ac:dyDescent="0.25">
      <c r="A159" s="58" t="s">
        <v>57</v>
      </c>
      <c r="B159" s="59" t="s">
        <v>58</v>
      </c>
      <c r="C159" s="59" t="s">
        <v>37</v>
      </c>
      <c r="D159" s="60" t="s">
        <v>226</v>
      </c>
      <c r="E159" s="60" t="s">
        <v>59</v>
      </c>
      <c r="F159" s="61" t="s">
        <v>60</v>
      </c>
      <c r="I159" s="79"/>
      <c r="J159" s="79"/>
    </row>
    <row r="160" spans="1:10" x14ac:dyDescent="0.2">
      <c r="A160" s="13" t="s">
        <v>11</v>
      </c>
      <c r="B160" s="14" t="s">
        <v>9</v>
      </c>
      <c r="C160" s="15">
        <f>C139</f>
        <v>1</v>
      </c>
      <c r="D160" s="15">
        <f>0.01*($E$128)</f>
        <v>1833.5</v>
      </c>
      <c r="E160" s="15">
        <f>C160*D160</f>
        <v>1833.5</v>
      </c>
      <c r="I160" s="79"/>
      <c r="J160" s="79"/>
    </row>
    <row r="161" spans="1:10" x14ac:dyDescent="0.2">
      <c r="A161" s="16" t="s">
        <v>184</v>
      </c>
      <c r="B161" s="17" t="s">
        <v>9</v>
      </c>
      <c r="C161" s="15">
        <f>C139</f>
        <v>1</v>
      </c>
      <c r="D161" s="83">
        <v>119.18</v>
      </c>
      <c r="E161" s="18">
        <f>C161*D161</f>
        <v>119.18</v>
      </c>
      <c r="I161" s="79"/>
      <c r="J161" s="79"/>
    </row>
    <row r="162" spans="1:10" x14ac:dyDescent="0.2">
      <c r="A162" s="16" t="s">
        <v>12</v>
      </c>
      <c r="B162" s="17" t="s">
        <v>9</v>
      </c>
      <c r="C162" s="15">
        <f>C139</f>
        <v>1</v>
      </c>
      <c r="D162" s="83">
        <v>0</v>
      </c>
      <c r="E162" s="18">
        <f>C162*D162</f>
        <v>0</v>
      </c>
      <c r="F162" s="31"/>
      <c r="G162" s="295"/>
      <c r="I162" s="79"/>
      <c r="J162" s="79"/>
    </row>
    <row r="163" spans="1:10" ht="13.5" thickBot="1" x14ac:dyDescent="0.25">
      <c r="A163" s="97" t="s">
        <v>13</v>
      </c>
      <c r="B163" s="98" t="s">
        <v>7</v>
      </c>
      <c r="C163" s="98">
        <v>12</v>
      </c>
      <c r="D163" s="99">
        <f>SUM(E160:E162)</f>
        <v>1952.68</v>
      </c>
      <c r="E163" s="99">
        <f>D163/C163</f>
        <v>162.72333333333333</v>
      </c>
      <c r="I163" s="79"/>
      <c r="J163" s="79"/>
    </row>
    <row r="164" spans="1:10" ht="13.5" thickBot="1" x14ac:dyDescent="0.25">
      <c r="D164" s="117" t="s">
        <v>185</v>
      </c>
      <c r="E164" s="50">
        <f>$B$42</f>
        <v>0.5</v>
      </c>
      <c r="F164" s="118">
        <f>E163*E164</f>
        <v>81.361666666666665</v>
      </c>
      <c r="I164" s="79"/>
      <c r="J164" s="79"/>
    </row>
    <row r="165" spans="1:10" x14ac:dyDescent="0.2">
      <c r="A165" s="9" t="s">
        <v>49</v>
      </c>
      <c r="B165" s="32"/>
      <c r="I165" s="79"/>
      <c r="J165" s="79"/>
    </row>
    <row r="166" spans="1:10" x14ac:dyDescent="0.2">
      <c r="B166" s="32"/>
      <c r="I166" s="79"/>
      <c r="J166" s="79"/>
    </row>
    <row r="167" spans="1:10" x14ac:dyDescent="0.2">
      <c r="A167" s="97" t="s">
        <v>110</v>
      </c>
      <c r="B167" s="108">
        <v>3620</v>
      </c>
      <c r="I167" s="79"/>
      <c r="J167" s="79"/>
    </row>
    <row r="168" spans="1:10" ht="13.5" thickBot="1" x14ac:dyDescent="0.25">
      <c r="B168" s="32"/>
      <c r="I168" s="79"/>
      <c r="J168" s="79"/>
    </row>
    <row r="169" spans="1:10" ht="13.5" thickBot="1" x14ac:dyDescent="0.25">
      <c r="A169" s="58" t="s">
        <v>57</v>
      </c>
      <c r="B169" s="59" t="s">
        <v>58</v>
      </c>
      <c r="C169" s="59" t="s">
        <v>245</v>
      </c>
      <c r="D169" s="60" t="s">
        <v>226</v>
      </c>
      <c r="E169" s="60" t="s">
        <v>59</v>
      </c>
      <c r="F169" s="61" t="s">
        <v>60</v>
      </c>
      <c r="I169" s="79"/>
      <c r="J169" s="79"/>
    </row>
    <row r="170" spans="1:10" x14ac:dyDescent="0.2">
      <c r="A170" s="13" t="s">
        <v>14</v>
      </c>
      <c r="B170" s="14" t="s">
        <v>15</v>
      </c>
      <c r="C170" s="91">
        <v>3.5</v>
      </c>
      <c r="D170" s="92">
        <v>3.48</v>
      </c>
      <c r="E170" s="15"/>
      <c r="I170" s="79"/>
      <c r="J170" s="79"/>
    </row>
    <row r="171" spans="1:10" x14ac:dyDescent="0.2">
      <c r="A171" s="16" t="s">
        <v>16</v>
      </c>
      <c r="B171" s="17" t="s">
        <v>17</v>
      </c>
      <c r="C171" s="88">
        <f>B167</f>
        <v>3620</v>
      </c>
      <c r="D171" s="255">
        <f>IFERROR(+D170/C170,"-")</f>
        <v>0.99428571428571433</v>
      </c>
      <c r="E171" s="18">
        <f>IFERROR(C171*D171,"-")</f>
        <v>3599.3142857142857</v>
      </c>
      <c r="I171" s="79"/>
      <c r="J171" s="79"/>
    </row>
    <row r="172" spans="1:10" x14ac:dyDescent="0.2">
      <c r="A172" s="16" t="s">
        <v>227</v>
      </c>
      <c r="B172" s="17" t="s">
        <v>18</v>
      </c>
      <c r="C172" s="94">
        <v>6</v>
      </c>
      <c r="D172" s="83">
        <v>12.73</v>
      </c>
      <c r="E172" s="18"/>
      <c r="G172" s="106"/>
      <c r="H172" s="51"/>
      <c r="I172" s="79"/>
      <c r="J172" s="79"/>
    </row>
    <row r="173" spans="1:10" x14ac:dyDescent="0.2">
      <c r="A173" s="16" t="s">
        <v>19</v>
      </c>
      <c r="B173" s="17" t="s">
        <v>17</v>
      </c>
      <c r="C173" s="88">
        <f>C171</f>
        <v>3620</v>
      </c>
      <c r="D173" s="252">
        <f>+C172*D172/1000</f>
        <v>7.637999999999999E-2</v>
      </c>
      <c r="E173" s="18">
        <f>C173*D173</f>
        <v>276.49559999999997</v>
      </c>
      <c r="G173" s="106"/>
      <c r="H173" s="51"/>
      <c r="I173" s="79"/>
      <c r="J173" s="79"/>
    </row>
    <row r="174" spans="1:10" x14ac:dyDescent="0.2">
      <c r="A174" s="16" t="s">
        <v>228</v>
      </c>
      <c r="B174" s="17" t="s">
        <v>18</v>
      </c>
      <c r="C174" s="94">
        <v>0.85</v>
      </c>
      <c r="D174" s="83">
        <v>8.4499999999999993</v>
      </c>
      <c r="E174" s="18"/>
      <c r="G174" s="106"/>
      <c r="H174" s="51"/>
      <c r="I174" s="79"/>
      <c r="J174" s="79"/>
    </row>
    <row r="175" spans="1:10" x14ac:dyDescent="0.2">
      <c r="A175" s="16" t="s">
        <v>20</v>
      </c>
      <c r="B175" s="17" t="s">
        <v>17</v>
      </c>
      <c r="C175" s="88">
        <f>C171</f>
        <v>3620</v>
      </c>
      <c r="D175" s="252">
        <f>+C174*D174/1000</f>
        <v>7.1824999999999996E-3</v>
      </c>
      <c r="E175" s="18">
        <f>C175*D175</f>
        <v>26.00065</v>
      </c>
      <c r="G175" s="312"/>
      <c r="H175" s="51"/>
      <c r="I175" s="79"/>
      <c r="J175" s="79"/>
    </row>
    <row r="176" spans="1:10" x14ac:dyDescent="0.2">
      <c r="A176" s="16" t="s">
        <v>229</v>
      </c>
      <c r="B176" s="17" t="s">
        <v>18</v>
      </c>
      <c r="C176" s="94">
        <v>16</v>
      </c>
      <c r="D176" s="83">
        <v>8.25</v>
      </c>
      <c r="E176" s="18"/>
      <c r="G176" s="106"/>
      <c r="H176" s="51"/>
      <c r="I176" s="79"/>
      <c r="J176" s="79"/>
    </row>
    <row r="177" spans="1:12" x14ac:dyDescent="0.2">
      <c r="A177" s="16" t="s">
        <v>21</v>
      </c>
      <c r="B177" s="17" t="s">
        <v>17</v>
      </c>
      <c r="C177" s="88">
        <f>C171</f>
        <v>3620</v>
      </c>
      <c r="D177" s="252">
        <f>+C176*D176/1000</f>
        <v>0.13200000000000001</v>
      </c>
      <c r="E177" s="18">
        <f>C177*D177</f>
        <v>477.84000000000003</v>
      </c>
      <c r="G177" s="106"/>
      <c r="H177" s="51"/>
      <c r="I177" s="79"/>
      <c r="J177" s="79"/>
    </row>
    <row r="178" spans="1:12" x14ac:dyDescent="0.2">
      <c r="A178" s="16" t="s">
        <v>22</v>
      </c>
      <c r="B178" s="17" t="s">
        <v>23</v>
      </c>
      <c r="C178" s="94">
        <v>1</v>
      </c>
      <c r="D178" s="83">
        <v>38.590000000000003</v>
      </c>
      <c r="E178" s="18"/>
      <c r="G178" s="106"/>
      <c r="H178" s="51"/>
      <c r="I178" s="79"/>
      <c r="J178" s="79"/>
    </row>
    <row r="179" spans="1:12" x14ac:dyDescent="0.2">
      <c r="A179" s="16" t="s">
        <v>24</v>
      </c>
      <c r="B179" s="17" t="s">
        <v>17</v>
      </c>
      <c r="C179" s="88">
        <f>C171</f>
        <v>3620</v>
      </c>
      <c r="D179" s="252">
        <f>+C178*D178/1000</f>
        <v>3.8590000000000006E-2</v>
      </c>
      <c r="E179" s="18">
        <f>C179*D179</f>
        <v>139.69580000000002</v>
      </c>
      <c r="G179" s="106"/>
      <c r="H179" s="51"/>
      <c r="I179" s="79"/>
      <c r="J179" s="79"/>
    </row>
    <row r="180" spans="1:12" ht="13.5" thickBot="1" x14ac:dyDescent="0.25">
      <c r="A180" s="97" t="s">
        <v>244</v>
      </c>
      <c r="B180" s="98" t="s">
        <v>111</v>
      </c>
      <c r="C180" s="253"/>
      <c r="D180" s="254">
        <f>IFERROR(D171+D173+D175+D177+D179,0)</f>
        <v>1.2484382142857144</v>
      </c>
      <c r="E180" s="18"/>
      <c r="G180" s="106"/>
      <c r="H180" s="51"/>
      <c r="I180" s="79"/>
      <c r="J180" s="79"/>
    </row>
    <row r="181" spans="1:12" ht="13.5" thickBot="1" x14ac:dyDescent="0.25">
      <c r="F181" s="21">
        <f>SUM(E170:E179)</f>
        <v>4519.3463357142864</v>
      </c>
      <c r="I181" s="79"/>
      <c r="J181" s="79"/>
    </row>
    <row r="182" spans="1:12" ht="11.25" customHeight="1" x14ac:dyDescent="0.2">
      <c r="I182" s="79"/>
      <c r="J182" s="79"/>
    </row>
    <row r="183" spans="1:12" ht="13.5" thickBot="1" x14ac:dyDescent="0.25">
      <c r="A183" s="9" t="s">
        <v>50</v>
      </c>
      <c r="I183" s="79"/>
      <c r="J183" s="79"/>
    </row>
    <row r="184" spans="1:12" ht="13.5" thickBot="1" x14ac:dyDescent="0.25">
      <c r="A184" s="58" t="s">
        <v>57</v>
      </c>
      <c r="B184" s="59" t="s">
        <v>58</v>
      </c>
      <c r="C184" s="59" t="s">
        <v>37</v>
      </c>
      <c r="D184" s="60" t="s">
        <v>226</v>
      </c>
      <c r="E184" s="60" t="s">
        <v>59</v>
      </c>
      <c r="F184" s="61" t="s">
        <v>60</v>
      </c>
      <c r="I184" s="79"/>
      <c r="J184" s="79"/>
    </row>
    <row r="185" spans="1:12" ht="13.5" thickBot="1" x14ac:dyDescent="0.25">
      <c r="A185" s="13" t="s">
        <v>109</v>
      </c>
      <c r="B185" s="14" t="s">
        <v>111</v>
      </c>
      <c r="C185" s="88">
        <f>B167</f>
        <v>3620</v>
      </c>
      <c r="D185" s="81">
        <v>0.74</v>
      </c>
      <c r="E185" s="15">
        <f>C185*D185</f>
        <v>2678.8</v>
      </c>
      <c r="H185" s="7"/>
      <c r="I185" s="79"/>
      <c r="J185" s="79">
        <v>20</v>
      </c>
      <c r="K185" s="9">
        <v>3</v>
      </c>
      <c r="L185" s="79">
        <f>K185*J185</f>
        <v>60</v>
      </c>
    </row>
    <row r="186" spans="1:12" ht="13.5" thickBot="1" x14ac:dyDescent="0.25">
      <c r="F186" s="21">
        <f>E185</f>
        <v>2678.8</v>
      </c>
      <c r="H186" s="7"/>
      <c r="I186" s="79"/>
      <c r="J186" s="79">
        <v>4</v>
      </c>
      <c r="K186" s="9">
        <v>1</v>
      </c>
      <c r="L186" s="79">
        <f>K186*J186</f>
        <v>4</v>
      </c>
    </row>
    <row r="187" spans="1:12" ht="11.25" customHeight="1" x14ac:dyDescent="0.2">
      <c r="H187" s="7"/>
      <c r="I187" s="79"/>
      <c r="J187" s="79">
        <v>116</v>
      </c>
      <c r="K187" s="9">
        <v>3</v>
      </c>
      <c r="L187" s="79">
        <f>K187*J187*2</f>
        <v>696</v>
      </c>
    </row>
    <row r="188" spans="1:12" ht="13.5" thickBot="1" x14ac:dyDescent="0.25">
      <c r="A188" s="9" t="s">
        <v>55</v>
      </c>
      <c r="I188" s="79"/>
      <c r="J188" s="79"/>
      <c r="L188" s="79">
        <f>SUM(L185:L187)</f>
        <v>760</v>
      </c>
    </row>
    <row r="189" spans="1:12" ht="13.5" thickBot="1" x14ac:dyDescent="0.25">
      <c r="A189" s="58" t="s">
        <v>57</v>
      </c>
      <c r="B189" s="59" t="s">
        <v>58</v>
      </c>
      <c r="C189" s="59" t="s">
        <v>37</v>
      </c>
      <c r="D189" s="60" t="s">
        <v>226</v>
      </c>
      <c r="E189" s="60" t="s">
        <v>59</v>
      </c>
      <c r="F189" s="61" t="s">
        <v>60</v>
      </c>
      <c r="I189" s="79"/>
      <c r="J189" s="79"/>
      <c r="L189" s="9">
        <f>365.25/12/7</f>
        <v>4.3482142857142856</v>
      </c>
    </row>
    <row r="190" spans="1:12" x14ac:dyDescent="0.2">
      <c r="A190" s="288" t="s">
        <v>282</v>
      </c>
      <c r="B190" s="14" t="s">
        <v>9</v>
      </c>
      <c r="C190" s="90">
        <v>6</v>
      </c>
      <c r="D190" s="81">
        <v>1138.25</v>
      </c>
      <c r="E190" s="15">
        <f>C190*D190</f>
        <v>6829.5</v>
      </c>
      <c r="I190" s="79"/>
      <c r="J190" s="79"/>
      <c r="L190" s="79">
        <f>L188*L189</f>
        <v>3304.6428571428569</v>
      </c>
    </row>
    <row r="191" spans="1:12" x14ac:dyDescent="0.2">
      <c r="A191" s="13" t="s">
        <v>112</v>
      </c>
      <c r="B191" s="14" t="s">
        <v>9</v>
      </c>
      <c r="C191" s="90">
        <v>2</v>
      </c>
      <c r="D191" s="100"/>
      <c r="E191" s="15"/>
      <c r="G191" s="295"/>
      <c r="I191" s="79"/>
      <c r="J191" s="79"/>
    </row>
    <row r="192" spans="1:12" x14ac:dyDescent="0.2">
      <c r="A192" s="13" t="s">
        <v>63</v>
      </c>
      <c r="B192" s="14" t="s">
        <v>9</v>
      </c>
      <c r="C192" s="15">
        <f>C190*C191</f>
        <v>12</v>
      </c>
      <c r="D192" s="81">
        <v>425</v>
      </c>
      <c r="E192" s="15">
        <f>C192*D192</f>
        <v>5100</v>
      </c>
      <c r="I192" s="79"/>
      <c r="J192" s="79"/>
    </row>
    <row r="193" spans="1:10" x14ac:dyDescent="0.2">
      <c r="A193" s="294" t="s">
        <v>281</v>
      </c>
      <c r="B193" s="17" t="s">
        <v>25</v>
      </c>
      <c r="C193" s="93">
        <v>150000</v>
      </c>
      <c r="D193" s="18">
        <f>E190+E192</f>
        <v>11929.5</v>
      </c>
      <c r="E193" s="18">
        <f>IFERROR(D193/C193,"-")</f>
        <v>7.9530000000000003E-2</v>
      </c>
      <c r="I193" s="79"/>
      <c r="J193" s="79"/>
    </row>
    <row r="194" spans="1:10" ht="13.5" thickBot="1" x14ac:dyDescent="0.25">
      <c r="A194" s="16" t="s">
        <v>52</v>
      </c>
      <c r="B194" s="17" t="s">
        <v>17</v>
      </c>
      <c r="C194" s="88">
        <f>B167</f>
        <v>3620</v>
      </c>
      <c r="D194" s="18">
        <f>E193</f>
        <v>7.9530000000000003E-2</v>
      </c>
      <c r="E194" s="18">
        <f>IFERROR(C194*D194,0)</f>
        <v>287.89859999999999</v>
      </c>
      <c r="I194" s="79"/>
      <c r="J194" s="79"/>
    </row>
    <row r="195" spans="1:10" ht="13.5" thickBot="1" x14ac:dyDescent="0.25">
      <c r="F195" s="21">
        <f>E194</f>
        <v>287.89859999999999</v>
      </c>
      <c r="I195" s="79"/>
      <c r="J195" s="79"/>
    </row>
    <row r="196" spans="1:10" ht="11.25" customHeight="1" thickBot="1" x14ac:dyDescent="0.25">
      <c r="I196" s="79"/>
      <c r="J196" s="79"/>
    </row>
    <row r="197" spans="1:10" ht="13.5" thickBot="1" x14ac:dyDescent="0.25">
      <c r="A197" s="24" t="s">
        <v>214</v>
      </c>
      <c r="B197" s="25"/>
      <c r="C197" s="25"/>
      <c r="D197" s="26"/>
      <c r="E197" s="27"/>
      <c r="F197" s="21">
        <f>+SUM(F128:F196)</f>
        <v>8535.7028370684529</v>
      </c>
      <c r="G197" s="9"/>
    </row>
    <row r="198" spans="1:10" ht="11.25" customHeight="1" x14ac:dyDescent="0.2">
      <c r="G198" s="9"/>
    </row>
    <row r="199" spans="1:10" x14ac:dyDescent="0.2">
      <c r="A199" s="34" t="s">
        <v>67</v>
      </c>
      <c r="B199" s="34"/>
      <c r="C199" s="34"/>
      <c r="D199" s="35"/>
      <c r="E199" s="35"/>
      <c r="F199" s="33"/>
      <c r="G199" s="9"/>
    </row>
    <row r="200" spans="1:10" ht="11.25" customHeight="1" thickBot="1" x14ac:dyDescent="0.25">
      <c r="G200" s="9"/>
    </row>
    <row r="201" spans="1:10" ht="13.5" thickBot="1" x14ac:dyDescent="0.25">
      <c r="A201" s="58" t="s">
        <v>57</v>
      </c>
      <c r="B201" s="59" t="s">
        <v>58</v>
      </c>
      <c r="C201" s="59" t="s">
        <v>37</v>
      </c>
      <c r="D201" s="60" t="s">
        <v>226</v>
      </c>
      <c r="E201" s="60" t="s">
        <v>59</v>
      </c>
      <c r="F201" s="61" t="s">
        <v>60</v>
      </c>
      <c r="G201" s="9"/>
    </row>
    <row r="202" spans="1:10" ht="13.5" thickBot="1" x14ac:dyDescent="0.25">
      <c r="A202" s="16" t="s">
        <v>64</v>
      </c>
      <c r="B202" s="17" t="s">
        <v>9</v>
      </c>
      <c r="C202" s="95">
        <v>0.16</v>
      </c>
      <c r="D202" s="81">
        <v>30</v>
      </c>
      <c r="E202" s="18">
        <f>C202*D202</f>
        <v>4.8</v>
      </c>
      <c r="F202" s="53"/>
      <c r="G202" s="9"/>
    </row>
    <row r="203" spans="1:10" ht="13.5" thickBot="1" x14ac:dyDescent="0.25">
      <c r="A203" s="34"/>
      <c r="B203" s="34"/>
      <c r="C203" s="34"/>
      <c r="D203" s="34"/>
      <c r="E203" s="35"/>
      <c r="F203" s="21">
        <f>SUM(E202:E202)</f>
        <v>4.8</v>
      </c>
      <c r="G203" s="7"/>
    </row>
    <row r="204" spans="1:10" ht="11.25" customHeight="1" thickBot="1" x14ac:dyDescent="0.25">
      <c r="G204" s="9"/>
    </row>
    <row r="205" spans="1:10" ht="13.5" thickBot="1" x14ac:dyDescent="0.25">
      <c r="A205" s="24" t="s">
        <v>215</v>
      </c>
      <c r="B205" s="25"/>
      <c r="C205" s="25"/>
      <c r="D205" s="26"/>
      <c r="E205" s="27"/>
      <c r="F205" s="21">
        <f>+F203</f>
        <v>4.8</v>
      </c>
      <c r="G205" s="9"/>
    </row>
    <row r="206" spans="1:10" ht="11.25" customHeight="1" thickBot="1" x14ac:dyDescent="0.25"/>
    <row r="207" spans="1:10" ht="17.25" customHeight="1" thickBot="1" x14ac:dyDescent="0.25">
      <c r="A207" s="24" t="s">
        <v>216</v>
      </c>
      <c r="B207" s="28"/>
      <c r="C207" s="28"/>
      <c r="D207" s="29"/>
      <c r="E207" s="30"/>
      <c r="F207" s="22">
        <f>+F90+F121+F197+F205</f>
        <v>14651.642002543522</v>
      </c>
    </row>
    <row r="208" spans="1:10" ht="11.25" customHeight="1" x14ac:dyDescent="0.2"/>
    <row r="209" spans="1:7" x14ac:dyDescent="0.2">
      <c r="A209" s="11" t="s">
        <v>82</v>
      </c>
    </row>
    <row r="210" spans="1:7" ht="11.25" customHeight="1" thickBot="1" x14ac:dyDescent="0.25"/>
    <row r="211" spans="1:7" ht="13.5" thickBot="1" x14ac:dyDescent="0.25">
      <c r="A211" s="58" t="s">
        <v>57</v>
      </c>
      <c r="B211" s="59" t="s">
        <v>58</v>
      </c>
      <c r="C211" s="59" t="s">
        <v>37</v>
      </c>
      <c r="D211" s="60" t="s">
        <v>226</v>
      </c>
      <c r="E211" s="60" t="s">
        <v>59</v>
      </c>
      <c r="F211" s="61" t="s">
        <v>60</v>
      </c>
    </row>
    <row r="212" spans="1:7" ht="13.5" thickBot="1" x14ac:dyDescent="0.25">
      <c r="A212" s="13" t="s">
        <v>34</v>
      </c>
      <c r="B212" s="14" t="s">
        <v>2</v>
      </c>
      <c r="C212" s="134">
        <f>'4.BDI'!C18*100</f>
        <v>24.779999999999998</v>
      </c>
      <c r="D212" s="15">
        <f>+F207</f>
        <v>14651.642002543522</v>
      </c>
      <c r="E212" s="15">
        <f>C212*D212/100</f>
        <v>3630.676888230284</v>
      </c>
    </row>
    <row r="213" spans="1:7" ht="13.5" thickBot="1" x14ac:dyDescent="0.25">
      <c r="F213" s="21">
        <f>+E212</f>
        <v>3630.676888230284</v>
      </c>
    </row>
    <row r="214" spans="1:7" ht="11.25" customHeight="1" thickBot="1" x14ac:dyDescent="0.25"/>
    <row r="215" spans="1:7" ht="13.5" thickBot="1" x14ac:dyDescent="0.25">
      <c r="A215" s="24" t="s">
        <v>231</v>
      </c>
      <c r="B215" s="28"/>
      <c r="C215" s="28"/>
      <c r="D215" s="29"/>
      <c r="E215" s="30"/>
      <c r="F215" s="22">
        <f>F213</f>
        <v>3630.676888230284</v>
      </c>
    </row>
    <row r="216" spans="1:7" x14ac:dyDescent="0.2">
      <c r="A216" s="34"/>
      <c r="B216" s="52"/>
      <c r="C216" s="52"/>
      <c r="D216" s="57"/>
      <c r="E216" s="57"/>
      <c r="F216" s="23"/>
    </row>
    <row r="217" spans="1:7" x14ac:dyDescent="0.2">
      <c r="A217" s="34" t="s">
        <v>296</v>
      </c>
      <c r="B217" s="52"/>
      <c r="C217" s="52"/>
      <c r="D217" s="57"/>
      <c r="E217" s="57"/>
      <c r="F217" s="23"/>
    </row>
    <row r="218" spans="1:7" x14ac:dyDescent="0.2">
      <c r="A218" s="34"/>
      <c r="B218" s="52"/>
      <c r="C218" s="52"/>
      <c r="D218" s="57"/>
      <c r="E218" s="57"/>
      <c r="F218" s="23"/>
    </row>
    <row r="219" spans="1:7" x14ac:dyDescent="0.2">
      <c r="A219" s="294" t="s">
        <v>300</v>
      </c>
      <c r="B219" s="307">
        <v>51</v>
      </c>
      <c r="C219" s="52"/>
      <c r="D219" s="57"/>
      <c r="E219" s="57"/>
      <c r="F219" s="23"/>
      <c r="G219" s="295"/>
    </row>
    <row r="220" spans="1:7" x14ac:dyDescent="0.2">
      <c r="A220" s="315" t="s">
        <v>297</v>
      </c>
      <c r="B220" s="307">
        <v>110</v>
      </c>
      <c r="C220" s="52"/>
      <c r="D220" s="57"/>
      <c r="E220" s="57"/>
      <c r="F220" s="23"/>
    </row>
    <row r="221" spans="1:7" x14ac:dyDescent="0.2">
      <c r="A221" s="315" t="s">
        <v>298</v>
      </c>
      <c r="B221" s="311">
        <f>B220-C212</f>
        <v>85.22</v>
      </c>
      <c r="C221" s="52"/>
      <c r="D221" s="57"/>
      <c r="E221" s="57"/>
      <c r="F221" s="23"/>
    </row>
    <row r="222" spans="1:7" x14ac:dyDescent="0.2">
      <c r="A222" s="315" t="s">
        <v>299</v>
      </c>
      <c r="B222" s="311">
        <f>B221*B219</f>
        <v>4346.22</v>
      </c>
      <c r="C222" s="52"/>
      <c r="D222" s="57"/>
      <c r="E222" s="57"/>
      <c r="F222" s="23"/>
    </row>
    <row r="223" spans="1:7" ht="11.25" customHeight="1" thickBot="1" x14ac:dyDescent="0.25"/>
    <row r="224" spans="1:7" ht="24.75" customHeight="1" thickBot="1" x14ac:dyDescent="0.25">
      <c r="A224" s="24" t="s">
        <v>217</v>
      </c>
      <c r="B224" s="28"/>
      <c r="C224" s="28"/>
      <c r="D224" s="29"/>
      <c r="E224" s="30"/>
      <c r="F224" s="22">
        <f>F207+F215+B222</f>
        <v>22628.538890773809</v>
      </c>
    </row>
    <row r="225" spans="1:7" ht="12.6" customHeight="1" x14ac:dyDescent="0.2">
      <c r="A225" s="54"/>
      <c r="B225" s="54"/>
      <c r="C225" s="54"/>
      <c r="D225" s="55"/>
      <c r="E225" s="55"/>
      <c r="F225" s="55"/>
    </row>
    <row r="226" spans="1:7" s="4" customFormat="1" ht="9.75" customHeight="1" x14ac:dyDescent="0.2">
      <c r="A226" s="39"/>
      <c r="B226" s="10"/>
      <c r="C226" s="10"/>
      <c r="D226" s="10"/>
      <c r="E226" s="10"/>
      <c r="F226" s="10"/>
      <c r="G226" s="6"/>
    </row>
    <row r="256" spans="4:7" ht="9" customHeight="1" x14ac:dyDescent="0.2">
      <c r="D256" s="9"/>
      <c r="E256" s="9"/>
      <c r="F256" s="9"/>
      <c r="G256" s="9"/>
    </row>
  </sheetData>
  <mergeCells count="11">
    <mergeCell ref="A1:F1"/>
    <mergeCell ref="A2:F2"/>
    <mergeCell ref="A3:F3"/>
    <mergeCell ref="A4:F4"/>
    <mergeCell ref="A39:D39"/>
    <mergeCell ref="A20:C20"/>
    <mergeCell ref="A10:F10"/>
    <mergeCell ref="A11:F11"/>
    <mergeCell ref="A34:D34"/>
    <mergeCell ref="A13:F13"/>
    <mergeCell ref="A33:E33"/>
  </mergeCells>
  <phoneticPr fontId="9" type="noConversion"/>
  <hyperlinks>
    <hyperlink ref="A142" location="AbaRemun" display="3.1.2. Remuneração do Capital"/>
    <hyperlink ref="A126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45" max="5" man="1"/>
    <brk id="75" max="5" man="1"/>
    <brk id="122" max="5" man="1"/>
    <brk id="187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3" zoomScaleNormal="100" workbookViewId="0">
      <selection activeCell="D16" sqref="D15:D16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49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193</v>
      </c>
    </row>
    <row r="2" spans="1:12" x14ac:dyDescent="0.2">
      <c r="A2" s="133" t="s">
        <v>238</v>
      </c>
    </row>
    <row r="3" spans="1:12" ht="13.5" thickBot="1" x14ac:dyDescent="0.25"/>
    <row r="4" spans="1:12" ht="18" x14ac:dyDescent="0.2">
      <c r="A4" s="335" t="s">
        <v>220</v>
      </c>
      <c r="B4" s="336"/>
      <c r="C4" s="337"/>
      <c r="D4" s="143"/>
      <c r="E4" s="143"/>
      <c r="F4" s="143"/>
    </row>
    <row r="5" spans="1:12" ht="14.25" x14ac:dyDescent="0.2">
      <c r="A5" s="160" t="s">
        <v>131</v>
      </c>
      <c r="B5" s="161" t="s">
        <v>132</v>
      </c>
      <c r="C5" s="162" t="s">
        <v>133</v>
      </c>
      <c r="D5" s="163"/>
    </row>
    <row r="6" spans="1:12" ht="14.25" x14ac:dyDescent="0.2">
      <c r="A6" s="160" t="s">
        <v>134</v>
      </c>
      <c r="B6" s="161" t="s">
        <v>38</v>
      </c>
      <c r="C6" s="164">
        <v>0.2</v>
      </c>
      <c r="D6" s="163"/>
      <c r="F6" s="149"/>
      <c r="G6" s="149"/>
      <c r="H6" s="149"/>
      <c r="I6" s="149"/>
      <c r="J6" s="149"/>
      <c r="K6" s="149"/>
      <c r="L6" s="149"/>
    </row>
    <row r="7" spans="1:12" ht="14.25" x14ac:dyDescent="0.2">
      <c r="A7" s="160" t="s">
        <v>135</v>
      </c>
      <c r="B7" s="161" t="s">
        <v>136</v>
      </c>
      <c r="C7" s="164">
        <v>1.4999999999999999E-2</v>
      </c>
      <c r="D7" s="163"/>
      <c r="F7" s="149"/>
      <c r="G7" s="149"/>
      <c r="H7" s="149"/>
      <c r="I7" s="149"/>
      <c r="J7" s="149"/>
      <c r="K7" s="149"/>
      <c r="L7" s="149"/>
    </row>
    <row r="8" spans="1:12" ht="14.25" x14ac:dyDescent="0.2">
      <c r="A8" s="160" t="s">
        <v>137</v>
      </c>
      <c r="B8" s="161" t="s">
        <v>138</v>
      </c>
      <c r="C8" s="164">
        <v>0.01</v>
      </c>
      <c r="D8" s="163"/>
      <c r="F8" s="149"/>
      <c r="G8" s="149"/>
      <c r="H8" s="149"/>
      <c r="I8" s="149"/>
      <c r="J8" s="149"/>
      <c r="K8" s="149"/>
      <c r="L8" s="149"/>
    </row>
    <row r="9" spans="1:12" ht="14.25" x14ac:dyDescent="0.2">
      <c r="A9" s="160" t="s">
        <v>139</v>
      </c>
      <c r="B9" s="161" t="s">
        <v>140</v>
      </c>
      <c r="C9" s="164">
        <v>2E-3</v>
      </c>
      <c r="D9" s="163"/>
      <c r="F9" s="149"/>
      <c r="G9" s="149"/>
      <c r="H9" s="149"/>
      <c r="I9" s="149"/>
      <c r="J9" s="149"/>
      <c r="K9" s="149"/>
      <c r="L9" s="149"/>
    </row>
    <row r="10" spans="1:12" ht="14.25" x14ac:dyDescent="0.2">
      <c r="A10" s="160" t="s">
        <v>141</v>
      </c>
      <c r="B10" s="161" t="s">
        <v>142</v>
      </c>
      <c r="C10" s="164">
        <v>6.0000000000000001E-3</v>
      </c>
      <c r="D10" s="163"/>
      <c r="F10" s="149"/>
      <c r="G10" s="149"/>
      <c r="H10" s="149"/>
      <c r="I10" s="149"/>
      <c r="J10" s="149"/>
      <c r="K10" s="149"/>
      <c r="L10" s="149"/>
    </row>
    <row r="11" spans="1:12" ht="14.25" x14ac:dyDescent="0.2">
      <c r="A11" s="160" t="s">
        <v>143</v>
      </c>
      <c r="B11" s="161" t="s">
        <v>144</v>
      </c>
      <c r="C11" s="164">
        <v>2.5000000000000001E-2</v>
      </c>
      <c r="D11" s="163"/>
      <c r="F11" s="149"/>
      <c r="G11" s="149"/>
      <c r="H11" s="149"/>
      <c r="I11" s="149"/>
      <c r="J11" s="149"/>
      <c r="K11" s="149"/>
      <c r="L11" s="149"/>
    </row>
    <row r="12" spans="1:12" ht="14.25" x14ac:dyDescent="0.2">
      <c r="A12" s="160" t="s">
        <v>145</v>
      </c>
      <c r="B12" s="161" t="s">
        <v>146</v>
      </c>
      <c r="C12" s="164">
        <v>0.03</v>
      </c>
      <c r="D12" s="163"/>
      <c r="F12" s="149"/>
      <c r="G12" s="149"/>
      <c r="H12" s="149"/>
      <c r="I12" s="149"/>
      <c r="J12" s="149"/>
      <c r="K12" s="149"/>
      <c r="L12" s="149"/>
    </row>
    <row r="13" spans="1:12" ht="14.25" x14ac:dyDescent="0.2">
      <c r="A13" s="160" t="s">
        <v>147</v>
      </c>
      <c r="B13" s="161" t="s">
        <v>39</v>
      </c>
      <c r="C13" s="164">
        <v>0.08</v>
      </c>
      <c r="D13" s="165"/>
      <c r="F13" s="149"/>
      <c r="G13" s="149"/>
      <c r="H13" s="149"/>
      <c r="I13" s="149"/>
      <c r="J13" s="149"/>
      <c r="K13" s="149"/>
      <c r="L13" s="149"/>
    </row>
    <row r="14" spans="1:12" ht="15" x14ac:dyDescent="0.2">
      <c r="A14" s="160" t="s">
        <v>148</v>
      </c>
      <c r="B14" s="166" t="s">
        <v>149</v>
      </c>
      <c r="C14" s="167">
        <f>SUM(C6:C13)</f>
        <v>0.36800000000000005</v>
      </c>
      <c r="D14" s="165"/>
      <c r="F14" s="149"/>
      <c r="G14" s="149"/>
      <c r="H14" s="149"/>
      <c r="I14" s="149"/>
      <c r="J14" s="149"/>
      <c r="K14" s="149"/>
      <c r="L14" s="149"/>
    </row>
    <row r="15" spans="1:12" ht="15" x14ac:dyDescent="0.2">
      <c r="A15" s="168"/>
      <c r="B15" s="169"/>
      <c r="C15" s="170"/>
      <c r="D15" s="165"/>
      <c r="F15" s="149"/>
      <c r="G15" s="149"/>
      <c r="H15" s="149"/>
      <c r="I15" s="149"/>
      <c r="J15" s="149"/>
      <c r="K15" s="149"/>
      <c r="L15" s="149"/>
    </row>
    <row r="16" spans="1:12" ht="14.25" x14ac:dyDescent="0.2">
      <c r="A16" s="160" t="s">
        <v>150</v>
      </c>
      <c r="B16" s="171" t="s">
        <v>151</v>
      </c>
      <c r="C16" s="164">
        <f>ROUND(IF('3.CAGED'!C34&gt;24,(1-12/'3.CAGED'!C34)*0.1111,0.1111-C25),4)</f>
        <v>5.6599999999999998E-2</v>
      </c>
      <c r="D16" s="165"/>
      <c r="F16" s="149"/>
      <c r="G16" s="149"/>
      <c r="H16" s="149"/>
      <c r="I16" s="149"/>
      <c r="J16" s="149"/>
      <c r="K16" s="149"/>
      <c r="L16" s="149"/>
    </row>
    <row r="17" spans="1:12" ht="14.25" x14ac:dyDescent="0.2">
      <c r="A17" s="160" t="s">
        <v>152</v>
      </c>
      <c r="B17" s="171" t="s">
        <v>153</v>
      </c>
      <c r="C17" s="164">
        <f>ROUND('3.CAGED'!C38/'3.CAGED'!C35,4)</f>
        <v>8.3299999999999999E-2</v>
      </c>
      <c r="D17" s="165"/>
      <c r="F17" s="149"/>
      <c r="G17" s="149"/>
      <c r="H17" s="149"/>
      <c r="I17" s="149"/>
      <c r="J17" s="149"/>
      <c r="K17" s="149"/>
      <c r="L17" s="149"/>
    </row>
    <row r="18" spans="1:12" ht="14.25" x14ac:dyDescent="0.2">
      <c r="A18" s="160" t="s">
        <v>211</v>
      </c>
      <c r="B18" s="171" t="s">
        <v>155</v>
      </c>
      <c r="C18" s="164">
        <v>5.9999999999999995E-4</v>
      </c>
      <c r="D18" s="165"/>
      <c r="F18" s="149"/>
      <c r="G18" s="149"/>
      <c r="H18" s="149"/>
      <c r="I18" s="149"/>
      <c r="J18" s="149"/>
      <c r="K18" s="149"/>
      <c r="L18" s="149"/>
    </row>
    <row r="19" spans="1:12" ht="14.25" x14ac:dyDescent="0.2">
      <c r="A19" s="160" t="s">
        <v>154</v>
      </c>
      <c r="B19" s="171" t="s">
        <v>157</v>
      </c>
      <c r="C19" s="164">
        <v>8.2000000000000007E-3</v>
      </c>
      <c r="D19" s="165"/>
      <c r="F19" s="149"/>
      <c r="G19" s="149"/>
      <c r="H19" s="149"/>
      <c r="I19" s="149"/>
      <c r="J19" s="149"/>
      <c r="K19" s="149"/>
      <c r="L19" s="149"/>
    </row>
    <row r="20" spans="1:12" ht="14.25" x14ac:dyDescent="0.2">
      <c r="A20" s="160" t="s">
        <v>156</v>
      </c>
      <c r="B20" s="171" t="s">
        <v>159</v>
      </c>
      <c r="C20" s="164">
        <v>3.0999999999999999E-3</v>
      </c>
      <c r="D20" s="165"/>
      <c r="F20" s="149"/>
      <c r="G20" s="149"/>
      <c r="H20" s="149"/>
      <c r="I20" s="149"/>
      <c r="J20" s="149"/>
      <c r="K20" s="149"/>
      <c r="L20" s="149"/>
    </row>
    <row r="21" spans="1:12" ht="14.25" x14ac:dyDescent="0.2">
      <c r="A21" s="160" t="s">
        <v>158</v>
      </c>
      <c r="B21" s="171" t="s">
        <v>160</v>
      </c>
      <c r="C21" s="164">
        <v>1.66E-2</v>
      </c>
      <c r="D21" s="165"/>
      <c r="F21" s="149"/>
      <c r="G21" s="149"/>
      <c r="H21" s="149"/>
      <c r="I21" s="149"/>
      <c r="J21" s="149"/>
      <c r="K21" s="149"/>
      <c r="L21" s="149"/>
    </row>
    <row r="22" spans="1:12" ht="15" x14ac:dyDescent="0.2">
      <c r="A22" s="160" t="s">
        <v>161</v>
      </c>
      <c r="B22" s="166" t="s">
        <v>162</v>
      </c>
      <c r="C22" s="167">
        <f>SUM(C16:C21)</f>
        <v>0.16839999999999999</v>
      </c>
      <c r="D22" s="172"/>
      <c r="F22" s="149"/>
      <c r="G22" s="149"/>
      <c r="H22" s="149"/>
      <c r="I22" s="149"/>
      <c r="J22" s="149"/>
      <c r="K22" s="149"/>
      <c r="L22" s="149"/>
    </row>
    <row r="23" spans="1:12" ht="15" x14ac:dyDescent="0.2">
      <c r="A23" s="168"/>
      <c r="B23" s="169"/>
      <c r="C23" s="170"/>
      <c r="D23" s="172"/>
      <c r="F23" s="149"/>
      <c r="G23" s="149"/>
      <c r="H23" s="149"/>
      <c r="I23" s="149"/>
      <c r="J23" s="149"/>
      <c r="K23" s="149"/>
      <c r="L23" s="149"/>
    </row>
    <row r="24" spans="1:12" ht="14.25" x14ac:dyDescent="0.2">
      <c r="A24" s="160" t="s">
        <v>163</v>
      </c>
      <c r="B24" s="161" t="s">
        <v>164</v>
      </c>
      <c r="C24" s="164">
        <f>ROUND(('3.CAGED'!C39) *'3.CAGED'!C32/'3.CAGED'!C35,4)</f>
        <v>4.1300000000000003E-2</v>
      </c>
      <c r="D24" s="165"/>
      <c r="E24" s="173"/>
      <c r="F24" s="149"/>
      <c r="G24" s="149"/>
      <c r="H24" s="149"/>
      <c r="I24" s="149"/>
      <c r="J24" s="149"/>
      <c r="K24" s="149"/>
      <c r="L24" s="149"/>
    </row>
    <row r="25" spans="1:12" ht="14.25" x14ac:dyDescent="0.2">
      <c r="A25" s="160" t="s">
        <v>210</v>
      </c>
      <c r="B25" s="161" t="s">
        <v>166</v>
      </c>
      <c r="C25" s="164">
        <f>ROUND(IF('3.CAGED'!C34&gt;12,12/'3.CAGED'!C34*0.1111,0.1111),4)</f>
        <v>5.45E-2</v>
      </c>
      <c r="D25" s="165"/>
      <c r="F25" s="149"/>
      <c r="G25" s="149"/>
      <c r="H25" s="174"/>
      <c r="I25" s="149"/>
      <c r="J25" s="149"/>
      <c r="K25" s="149"/>
      <c r="L25" s="149"/>
    </row>
    <row r="26" spans="1:12" ht="14.25" x14ac:dyDescent="0.2">
      <c r="A26" s="160" t="s">
        <v>165</v>
      </c>
      <c r="B26" s="161" t="s">
        <v>168</v>
      </c>
      <c r="C26" s="164">
        <f>C24*C25</f>
        <v>2.25085E-3</v>
      </c>
      <c r="D26" s="165"/>
      <c r="E26" s="173"/>
      <c r="F26" s="149"/>
      <c r="G26" s="149"/>
      <c r="H26" s="149"/>
      <c r="I26" s="149"/>
      <c r="J26" s="149"/>
      <c r="K26" s="149"/>
      <c r="L26" s="149"/>
    </row>
    <row r="27" spans="1:12" ht="14.25" x14ac:dyDescent="0.2">
      <c r="A27" s="160" t="s">
        <v>167</v>
      </c>
      <c r="B27" s="161" t="s">
        <v>170</v>
      </c>
      <c r="C27" s="164">
        <f>ROUND(('3.CAGED'!C35+'3.CAGED'!C36+'3.CAGED'!C38)/'3.CAGED'!C33*'3.CAGED'!C40*'3.CAGED'!C41*'3.CAGED'!C32/'3.CAGED'!C35,4)</f>
        <v>3.7400000000000003E-2</v>
      </c>
      <c r="D27" s="165"/>
      <c r="F27" s="149"/>
      <c r="G27" s="175"/>
      <c r="H27" s="149"/>
      <c r="I27" s="149"/>
      <c r="J27" s="149"/>
      <c r="K27" s="149"/>
      <c r="L27" s="149"/>
    </row>
    <row r="28" spans="1:12" ht="14.25" x14ac:dyDescent="0.2">
      <c r="A28" s="160" t="s">
        <v>169</v>
      </c>
      <c r="B28" s="161" t="s">
        <v>171</v>
      </c>
      <c r="C28" s="164">
        <f>ROUND(('3.CAGED'!C37/'3.CAGED'!C35)*'3.CAGED'!C32/12,4)</f>
        <v>2.8999999999999998E-3</v>
      </c>
      <c r="D28" s="165"/>
      <c r="F28" s="149"/>
      <c r="G28" s="149"/>
      <c r="H28" s="149"/>
      <c r="I28" s="149"/>
      <c r="J28" s="149"/>
      <c r="K28" s="149"/>
      <c r="L28" s="149"/>
    </row>
    <row r="29" spans="1:12" ht="15" x14ac:dyDescent="0.2">
      <c r="A29" s="160" t="s">
        <v>172</v>
      </c>
      <c r="B29" s="166" t="s">
        <v>173</v>
      </c>
      <c r="C29" s="167">
        <f>SUM(C24:C28)</f>
        <v>0.13835085000000003</v>
      </c>
      <c r="D29" s="172"/>
      <c r="F29" s="149"/>
      <c r="G29" s="149"/>
      <c r="H29" s="149"/>
      <c r="I29" s="149"/>
      <c r="J29" s="149"/>
      <c r="K29" s="149"/>
      <c r="L29" s="149"/>
    </row>
    <row r="30" spans="1:12" ht="15" x14ac:dyDescent="0.2">
      <c r="A30" s="168"/>
      <c r="B30" s="169"/>
      <c r="C30" s="170"/>
      <c r="D30" s="172"/>
      <c r="F30" s="149"/>
      <c r="G30" s="149"/>
      <c r="H30" s="149"/>
      <c r="I30" s="149"/>
      <c r="J30" s="149"/>
      <c r="K30" s="149"/>
      <c r="L30" s="149"/>
    </row>
    <row r="31" spans="1:12" ht="14.25" x14ac:dyDescent="0.2">
      <c r="A31" s="160" t="s">
        <v>174</v>
      </c>
      <c r="B31" s="161" t="s">
        <v>175</v>
      </c>
      <c r="C31" s="164">
        <f>ROUND(C14*C22,4)</f>
        <v>6.2E-2</v>
      </c>
      <c r="D31" s="165"/>
      <c r="F31" s="149"/>
      <c r="G31" s="149"/>
      <c r="H31" s="149"/>
      <c r="I31" s="149"/>
      <c r="J31" s="149"/>
      <c r="K31" s="149"/>
      <c r="L31" s="149"/>
    </row>
    <row r="32" spans="1:12" ht="28.5" x14ac:dyDescent="0.2">
      <c r="A32" s="160" t="s">
        <v>176</v>
      </c>
      <c r="B32" s="176" t="s">
        <v>275</v>
      </c>
      <c r="C32" s="164">
        <f>ROUND((C24*C13),4)</f>
        <v>3.3E-3</v>
      </c>
      <c r="D32" s="165"/>
      <c r="F32" s="149"/>
      <c r="G32" s="149"/>
      <c r="H32" s="149"/>
      <c r="I32" s="149"/>
      <c r="J32" s="149"/>
      <c r="K32" s="149"/>
      <c r="L32" s="149"/>
    </row>
    <row r="33" spans="1:12" ht="15" x14ac:dyDescent="0.2">
      <c r="A33" s="160" t="s">
        <v>177</v>
      </c>
      <c r="B33" s="166" t="s">
        <v>178</v>
      </c>
      <c r="C33" s="167">
        <f>SUM(C31:C32)</f>
        <v>6.5299999999999997E-2</v>
      </c>
      <c r="D33" s="177"/>
      <c r="F33" s="149"/>
      <c r="G33" s="149"/>
      <c r="H33" s="149"/>
      <c r="I33" s="149"/>
      <c r="J33" s="149"/>
      <c r="K33" s="149"/>
      <c r="L33" s="149"/>
    </row>
    <row r="34" spans="1:12" ht="15.75" thickBot="1" x14ac:dyDescent="0.25">
      <c r="A34" s="178"/>
      <c r="B34" s="179" t="s">
        <v>179</v>
      </c>
      <c r="C34" s="180">
        <f>C33+C29+C22+C14</f>
        <v>0.74005085000000004</v>
      </c>
      <c r="D34" s="177"/>
      <c r="F34" s="149"/>
      <c r="G34" s="149"/>
      <c r="H34" s="149"/>
      <c r="I34" s="149"/>
      <c r="J34" s="149"/>
      <c r="K34" s="149"/>
      <c r="L34" s="149"/>
    </row>
    <row r="35" spans="1:12" ht="15" x14ac:dyDescent="0.2">
      <c r="A35" s="165"/>
      <c r="B35" s="181"/>
      <c r="C35" s="182"/>
      <c r="D35" s="183"/>
      <c r="F35" s="149"/>
      <c r="G35" s="149"/>
      <c r="H35" s="149"/>
      <c r="I35" s="149"/>
      <c r="J35" s="149"/>
      <c r="K35" s="149"/>
      <c r="L35" s="149"/>
    </row>
    <row r="36" spans="1:12" ht="14.25" x14ac:dyDescent="0.2">
      <c r="A36" s="165"/>
      <c r="B36" s="165"/>
      <c r="C36" s="184"/>
      <c r="D36" s="185"/>
      <c r="F36" s="149"/>
      <c r="G36" s="149"/>
      <c r="H36" s="149"/>
      <c r="I36" s="149"/>
      <c r="J36" s="149"/>
      <c r="K36" s="149"/>
      <c r="L36" s="149"/>
    </row>
    <row r="37" spans="1:12" ht="14.25" x14ac:dyDescent="0.2">
      <c r="A37" s="163"/>
      <c r="B37" s="163"/>
      <c r="C37" s="186"/>
      <c r="D37" s="163"/>
      <c r="F37" s="149"/>
      <c r="G37" s="149"/>
      <c r="H37" s="149"/>
      <c r="I37" s="149"/>
      <c r="J37" s="149"/>
      <c r="K37" s="149"/>
      <c r="L37" s="149"/>
    </row>
    <row r="38" spans="1:12" ht="14.25" x14ac:dyDescent="0.2">
      <c r="A38" s="163"/>
      <c r="B38" s="163"/>
      <c r="C38" s="186"/>
      <c r="D38" s="163"/>
      <c r="F38" s="149"/>
      <c r="G38" s="149"/>
      <c r="H38" s="149"/>
      <c r="I38" s="149"/>
      <c r="J38" s="149"/>
      <c r="K38" s="149"/>
      <c r="L38" s="149"/>
    </row>
    <row r="39" spans="1:12" ht="14.25" x14ac:dyDescent="0.2">
      <c r="A39" s="163"/>
      <c r="B39" s="163"/>
      <c r="C39" s="186"/>
      <c r="D39" s="163"/>
      <c r="F39" s="149"/>
      <c r="G39" s="149"/>
      <c r="H39" s="149"/>
      <c r="I39" s="149"/>
      <c r="J39" s="149"/>
      <c r="K39" s="149"/>
      <c r="L39" s="149"/>
    </row>
    <row r="40" spans="1:12" ht="15" x14ac:dyDescent="0.2">
      <c r="A40" s="163"/>
      <c r="B40" s="187"/>
      <c r="C40" s="188"/>
      <c r="D40" s="163"/>
      <c r="F40" s="149"/>
      <c r="G40" s="149"/>
      <c r="H40" s="149"/>
      <c r="I40" s="149"/>
      <c r="J40" s="149"/>
      <c r="K40" s="149"/>
      <c r="L40" s="149"/>
    </row>
    <row r="41" spans="1:12" ht="15" x14ac:dyDescent="0.2">
      <c r="A41" s="177"/>
      <c r="B41" s="187"/>
      <c r="C41" s="188"/>
      <c r="D41" s="177"/>
      <c r="E41" s="149"/>
      <c r="F41" s="149"/>
      <c r="G41" s="149"/>
      <c r="H41" s="149"/>
      <c r="I41" s="149"/>
      <c r="J41" s="149"/>
      <c r="K41" s="149"/>
      <c r="L41" s="149"/>
    </row>
    <row r="42" spans="1:12" ht="16.5" x14ac:dyDescent="0.2">
      <c r="A42" s="189"/>
      <c r="B42" s="149"/>
      <c r="C42" s="149"/>
      <c r="E42" s="149"/>
      <c r="F42" s="149"/>
      <c r="G42" s="149"/>
      <c r="H42" s="149"/>
      <c r="I42" s="149"/>
      <c r="J42" s="149"/>
      <c r="K42" s="149"/>
      <c r="L42" s="149"/>
    </row>
    <row r="43" spans="1:12" x14ac:dyDescent="0.2">
      <c r="A43" s="190"/>
      <c r="B43" s="191"/>
      <c r="C43" s="191"/>
      <c r="E43" s="149"/>
      <c r="F43" s="149"/>
      <c r="G43" s="149"/>
      <c r="H43" s="149"/>
      <c r="I43" s="149"/>
      <c r="J43" s="149"/>
      <c r="K43" s="149"/>
      <c r="L43" s="149"/>
    </row>
    <row r="44" spans="1:12" ht="14.25" x14ac:dyDescent="0.2">
      <c r="A44" s="163"/>
      <c r="B44" s="192"/>
      <c r="C44" s="191"/>
      <c r="E44" s="149"/>
      <c r="F44" s="149"/>
      <c r="G44" s="149"/>
      <c r="H44" s="149"/>
      <c r="I44" s="149"/>
      <c r="J44" s="149"/>
      <c r="K44" s="149"/>
      <c r="L44" s="149"/>
    </row>
    <row r="45" spans="1:12" ht="14.25" x14ac:dyDescent="0.2">
      <c r="A45" s="163"/>
      <c r="B45" s="192"/>
      <c r="C45" s="163"/>
      <c r="E45" s="149"/>
      <c r="F45" s="149"/>
      <c r="G45" s="149"/>
      <c r="H45" s="149"/>
      <c r="I45" s="149"/>
      <c r="J45" s="149"/>
      <c r="K45" s="149"/>
      <c r="L45" s="149"/>
    </row>
    <row r="46" spans="1:12" ht="14.25" x14ac:dyDescent="0.2">
      <c r="A46" s="163"/>
      <c r="B46" s="186"/>
      <c r="C46" s="191"/>
      <c r="E46" s="149"/>
      <c r="F46" s="149"/>
      <c r="G46" s="149"/>
      <c r="H46" s="149"/>
      <c r="I46" s="149"/>
      <c r="J46" s="149"/>
      <c r="K46" s="149"/>
      <c r="L46" s="149"/>
    </row>
    <row r="47" spans="1:12" ht="14.25" x14ac:dyDescent="0.2">
      <c r="A47" s="163"/>
      <c r="B47" s="192"/>
      <c r="C47" s="163"/>
      <c r="E47" s="149"/>
      <c r="F47" s="149"/>
      <c r="G47" s="149"/>
      <c r="H47" s="149"/>
      <c r="I47" s="149"/>
      <c r="J47" s="149"/>
      <c r="K47" s="149"/>
      <c r="L47" s="149"/>
    </row>
    <row r="48" spans="1:12" ht="14.25" x14ac:dyDescent="0.2">
      <c r="A48" s="163"/>
      <c r="B48" s="186"/>
      <c r="C48" s="191"/>
      <c r="E48" s="149"/>
      <c r="F48" s="149"/>
      <c r="G48" s="149"/>
      <c r="H48" s="149"/>
      <c r="I48" s="149"/>
      <c r="J48" s="149"/>
      <c r="K48" s="149"/>
      <c r="L48" s="149"/>
    </row>
    <row r="49" spans="1:12" ht="14.25" x14ac:dyDescent="0.2">
      <c r="A49" s="163"/>
      <c r="B49" s="192"/>
      <c r="C49" s="163"/>
      <c r="E49" s="149"/>
      <c r="F49" s="149"/>
      <c r="G49" s="149"/>
      <c r="H49" s="149"/>
      <c r="I49" s="149"/>
      <c r="J49" s="149"/>
      <c r="K49" s="149"/>
      <c r="L49" s="149"/>
    </row>
    <row r="50" spans="1:12" ht="14.25" x14ac:dyDescent="0.2">
      <c r="A50" s="163"/>
      <c r="B50" s="186"/>
      <c r="C50" s="191"/>
      <c r="E50" s="149"/>
      <c r="F50" s="149"/>
      <c r="G50" s="149"/>
      <c r="H50" s="149"/>
      <c r="I50" s="149"/>
      <c r="J50" s="149"/>
      <c r="K50" s="149"/>
      <c r="L50" s="149"/>
    </row>
    <row r="51" spans="1:12" ht="14.25" x14ac:dyDescent="0.2">
      <c r="A51" s="163"/>
      <c r="B51" s="192"/>
      <c r="C51" s="163"/>
      <c r="E51" s="149"/>
      <c r="F51" s="149"/>
      <c r="G51" s="149"/>
      <c r="H51" s="149"/>
      <c r="I51" s="149"/>
      <c r="J51" s="149"/>
      <c r="K51" s="149"/>
      <c r="L51" s="149"/>
    </row>
    <row r="52" spans="1:12" ht="14.25" x14ac:dyDescent="0.2">
      <c r="A52" s="163"/>
      <c r="B52" s="186"/>
      <c r="C52" s="191"/>
      <c r="E52" s="149"/>
      <c r="F52" s="149"/>
      <c r="G52" s="149"/>
      <c r="H52" s="149"/>
      <c r="I52" s="149"/>
      <c r="J52" s="149"/>
      <c r="K52" s="149"/>
      <c r="L52" s="149"/>
    </row>
    <row r="53" spans="1:12" ht="16.5" x14ac:dyDescent="0.2">
      <c r="A53" s="189"/>
      <c r="B53" s="149"/>
      <c r="C53" s="149"/>
      <c r="E53" s="149"/>
      <c r="F53" s="149"/>
      <c r="G53" s="149"/>
      <c r="H53" s="149"/>
      <c r="I53" s="149"/>
      <c r="J53" s="149"/>
      <c r="K53" s="149"/>
      <c r="L53" s="149"/>
    </row>
    <row r="54" spans="1:12" x14ac:dyDescent="0.2">
      <c r="A54" s="149"/>
      <c r="B54" s="149"/>
      <c r="C54" s="149"/>
      <c r="E54" s="149"/>
      <c r="F54" s="149"/>
      <c r="G54" s="149"/>
      <c r="H54" s="149"/>
      <c r="I54" s="149"/>
      <c r="J54" s="149"/>
      <c r="K54" s="149"/>
      <c r="L54" s="149"/>
    </row>
    <row r="55" spans="1:12" x14ac:dyDescent="0.2">
      <c r="A55" s="149"/>
      <c r="B55" s="149"/>
      <c r="C55" s="149"/>
      <c r="E55" s="149"/>
      <c r="F55" s="149"/>
      <c r="G55" s="149"/>
      <c r="H55" s="149"/>
      <c r="I55" s="149"/>
      <c r="J55" s="149"/>
      <c r="K55" s="149"/>
      <c r="L55" s="149"/>
    </row>
    <row r="56" spans="1:12" x14ac:dyDescent="0.2">
      <c r="A56" s="193"/>
      <c r="B56" s="149"/>
      <c r="C56" s="149"/>
      <c r="E56" s="149"/>
      <c r="F56" s="149"/>
      <c r="G56" s="149"/>
      <c r="H56" s="149"/>
      <c r="I56" s="149"/>
      <c r="J56" s="149"/>
      <c r="K56" s="149"/>
      <c r="L56" s="149"/>
    </row>
    <row r="57" spans="1:12" x14ac:dyDescent="0.2">
      <c r="A57" s="149"/>
      <c r="B57" s="149"/>
      <c r="C57" s="149"/>
      <c r="E57" s="149"/>
    </row>
    <row r="58" spans="1:12" x14ac:dyDescent="0.2">
      <c r="A58" s="149"/>
      <c r="B58" s="149"/>
      <c r="C58" s="149"/>
      <c r="E58" s="149"/>
    </row>
    <row r="59" spans="1:12" x14ac:dyDescent="0.2">
      <c r="A59" s="149"/>
      <c r="B59" s="149"/>
      <c r="C59" s="149"/>
      <c r="E59" s="149"/>
    </row>
    <row r="60" spans="1:12" x14ac:dyDescent="0.2">
      <c r="A60" s="149"/>
      <c r="B60" s="149"/>
      <c r="C60" s="149"/>
      <c r="E60" s="149"/>
    </row>
    <row r="61" spans="1:12" x14ac:dyDescent="0.2">
      <c r="A61" s="149"/>
      <c r="B61" s="149"/>
      <c r="C61" s="149"/>
      <c r="E61" s="149"/>
    </row>
    <row r="62" spans="1:12" x14ac:dyDescent="0.2">
      <c r="A62" s="149"/>
      <c r="B62" s="149"/>
      <c r="C62" s="149"/>
      <c r="E62" s="149"/>
    </row>
    <row r="63" spans="1:12" x14ac:dyDescent="0.2">
      <c r="A63" s="149"/>
      <c r="B63" s="149"/>
      <c r="C63" s="149"/>
      <c r="E63" s="149"/>
    </row>
    <row r="64" spans="1:12" x14ac:dyDescent="0.2">
      <c r="A64" s="149"/>
      <c r="B64" s="149"/>
      <c r="C64" s="149"/>
      <c r="E64" s="149"/>
    </row>
    <row r="65" spans="1:5" x14ac:dyDescent="0.2">
      <c r="A65" s="149"/>
      <c r="B65" s="149"/>
      <c r="C65" s="149"/>
      <c r="E65" s="149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8" zoomScaleNormal="100" workbookViewId="0">
      <selection activeCell="E9" sqref="E9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2" t="s">
        <v>232</v>
      </c>
    </row>
    <row r="3" spans="1:3" x14ac:dyDescent="0.2">
      <c r="A3" s="1" t="s">
        <v>200</v>
      </c>
    </row>
    <row r="4" spans="1:3" x14ac:dyDescent="0.2">
      <c r="A4" s="259" t="s">
        <v>196</v>
      </c>
    </row>
    <row r="5" spans="1:3" ht="25.5" customHeight="1" x14ac:dyDescent="0.2">
      <c r="A5" s="341" t="s">
        <v>242</v>
      </c>
      <c r="B5" s="340"/>
      <c r="C5" s="340"/>
    </row>
    <row r="6" spans="1:3" x14ac:dyDescent="0.2">
      <c r="A6" s="1" t="s">
        <v>197</v>
      </c>
    </row>
    <row r="7" spans="1:3" ht="26.25" customHeight="1" x14ac:dyDescent="0.2">
      <c r="A7" s="340" t="s">
        <v>198</v>
      </c>
      <c r="B7" s="340"/>
      <c r="C7" s="340"/>
    </row>
    <row r="8" spans="1:3" x14ac:dyDescent="0.2">
      <c r="A8" s="1" t="s">
        <v>199</v>
      </c>
    </row>
    <row r="9" spans="1:3" x14ac:dyDescent="0.2">
      <c r="A9" s="287" t="s">
        <v>233</v>
      </c>
    </row>
    <row r="10" spans="1:3" x14ac:dyDescent="0.2">
      <c r="A10" s="287" t="s">
        <v>292</v>
      </c>
      <c r="B10" s="314" t="s">
        <v>293</v>
      </c>
    </row>
    <row r="11" spans="1:3" x14ac:dyDescent="0.2">
      <c r="A11" s="287"/>
      <c r="B11" s="314" t="s">
        <v>294</v>
      </c>
    </row>
    <row r="12" spans="1:3" ht="13.5" thickBot="1" x14ac:dyDescent="0.25"/>
    <row r="13" spans="1:3" ht="18" x14ac:dyDescent="0.25">
      <c r="B13" s="338" t="s">
        <v>218</v>
      </c>
      <c r="C13" s="339"/>
    </row>
    <row r="14" spans="1:3" ht="15" x14ac:dyDescent="0.25">
      <c r="A14" s="149"/>
      <c r="B14" s="148" t="s">
        <v>195</v>
      </c>
      <c r="C14" s="194"/>
    </row>
    <row r="15" spans="1:3" ht="15" x14ac:dyDescent="0.25">
      <c r="A15" s="149"/>
      <c r="B15" s="150" t="s">
        <v>115</v>
      </c>
      <c r="C15" s="151">
        <v>2279</v>
      </c>
    </row>
    <row r="16" spans="1:3" ht="15" x14ac:dyDescent="0.25">
      <c r="A16" s="149"/>
      <c r="B16" s="152" t="s">
        <v>116</v>
      </c>
      <c r="C16" s="151">
        <v>3137</v>
      </c>
    </row>
    <row r="17" spans="1:3" ht="14.25" x14ac:dyDescent="0.2">
      <c r="A17" s="149"/>
      <c r="B17" s="195" t="s">
        <v>117</v>
      </c>
      <c r="C17" s="196">
        <v>126</v>
      </c>
    </row>
    <row r="18" spans="1:3" ht="14.25" x14ac:dyDescent="0.2">
      <c r="A18" s="149"/>
      <c r="B18" s="195" t="s">
        <v>118</v>
      </c>
      <c r="C18" s="196">
        <v>2280</v>
      </c>
    </row>
    <row r="19" spans="1:3" ht="14.25" x14ac:dyDescent="0.2">
      <c r="A19" s="149"/>
      <c r="B19" s="195" t="s">
        <v>119</v>
      </c>
      <c r="C19" s="196">
        <v>356</v>
      </c>
    </row>
    <row r="20" spans="1:3" ht="14.25" x14ac:dyDescent="0.2">
      <c r="A20" s="149"/>
      <c r="B20" s="195" t="s">
        <v>120</v>
      </c>
      <c r="C20" s="196">
        <v>24</v>
      </c>
    </row>
    <row r="21" spans="1:3" ht="14.25" x14ac:dyDescent="0.2">
      <c r="A21" s="149"/>
      <c r="B21" s="195" t="s">
        <v>121</v>
      </c>
      <c r="C21" s="196">
        <v>316</v>
      </c>
    </row>
    <row r="22" spans="1:3" ht="14.25" x14ac:dyDescent="0.2">
      <c r="A22" s="149"/>
      <c r="B22" s="195" t="s">
        <v>122</v>
      </c>
      <c r="C22" s="196">
        <v>1</v>
      </c>
    </row>
    <row r="23" spans="1:3" ht="14.25" x14ac:dyDescent="0.2">
      <c r="A23" s="149"/>
      <c r="B23" s="195" t="s">
        <v>123</v>
      </c>
      <c r="C23" s="196">
        <v>25</v>
      </c>
    </row>
    <row r="24" spans="1:3" ht="14.25" x14ac:dyDescent="0.2">
      <c r="A24" s="149"/>
      <c r="B24" s="197" t="s">
        <v>124</v>
      </c>
      <c r="C24" s="198">
        <v>0</v>
      </c>
    </row>
    <row r="25" spans="1:3" ht="14.25" x14ac:dyDescent="0.2">
      <c r="A25" s="149"/>
      <c r="B25" s="293" t="s">
        <v>280</v>
      </c>
      <c r="C25" s="198">
        <v>0</v>
      </c>
    </row>
    <row r="26" spans="1:3" ht="15" x14ac:dyDescent="0.25">
      <c r="A26" s="149" t="s">
        <v>125</v>
      </c>
      <c r="B26" s="148" t="s">
        <v>126</v>
      </c>
      <c r="C26" s="194"/>
    </row>
    <row r="27" spans="1:3" ht="14.25" x14ac:dyDescent="0.2">
      <c r="A27" s="149"/>
      <c r="B27" s="199" t="s">
        <v>289</v>
      </c>
      <c r="C27" s="200">
        <v>5948</v>
      </c>
    </row>
    <row r="28" spans="1:3" ht="14.25" x14ac:dyDescent="0.2">
      <c r="A28" s="149"/>
      <c r="B28" s="195" t="s">
        <v>290</v>
      </c>
      <c r="C28" s="196">
        <v>5090</v>
      </c>
    </row>
    <row r="29" spans="1:3" ht="14.25" x14ac:dyDescent="0.2">
      <c r="B29" s="195" t="s">
        <v>291</v>
      </c>
      <c r="C29" s="286">
        <f>C15-C16</f>
        <v>-858</v>
      </c>
    </row>
    <row r="30" spans="1:3" ht="14.25" x14ac:dyDescent="0.2">
      <c r="B30" s="201"/>
      <c r="C30" s="202"/>
    </row>
    <row r="31" spans="1:3" s="102" customFormat="1" ht="15" x14ac:dyDescent="0.25">
      <c r="B31" s="150" t="s">
        <v>128</v>
      </c>
      <c r="C31" s="203">
        <f>MEDIAN(C27,C28)</f>
        <v>5519</v>
      </c>
    </row>
    <row r="32" spans="1:3" ht="15" x14ac:dyDescent="0.25">
      <c r="B32" s="152" t="s">
        <v>278</v>
      </c>
      <c r="C32" s="291">
        <f>C18/C31</f>
        <v>0.41311831853596664</v>
      </c>
    </row>
    <row r="33" spans="2:5" ht="15" x14ac:dyDescent="0.25">
      <c r="B33" s="152" t="s">
        <v>279</v>
      </c>
      <c r="C33" s="291">
        <f>MEDIAN(C15,C16)/C31</f>
        <v>0.49066859938394636</v>
      </c>
      <c r="E33" s="259"/>
    </row>
    <row r="34" spans="2:5" s="102" customFormat="1" ht="15" x14ac:dyDescent="0.25">
      <c r="B34" s="152" t="s">
        <v>239</v>
      </c>
      <c r="C34" s="289">
        <f>12/C33</f>
        <v>24.456425406203842</v>
      </c>
    </row>
    <row r="35" spans="2:5" ht="15" x14ac:dyDescent="0.25">
      <c r="B35" s="152" t="s">
        <v>127</v>
      </c>
      <c r="C35" s="154">
        <v>360</v>
      </c>
    </row>
    <row r="36" spans="2:5" ht="15" x14ac:dyDescent="0.25">
      <c r="B36" s="152" t="s">
        <v>234</v>
      </c>
      <c r="C36" s="154">
        <v>10</v>
      </c>
    </row>
    <row r="37" spans="2:5" ht="15" x14ac:dyDescent="0.25">
      <c r="B37" s="150" t="s">
        <v>235</v>
      </c>
      <c r="C37" s="153">
        <v>30</v>
      </c>
    </row>
    <row r="38" spans="2:5" ht="15" x14ac:dyDescent="0.25">
      <c r="B38" s="150" t="s">
        <v>236</v>
      </c>
      <c r="C38" s="153">
        <v>30</v>
      </c>
    </row>
    <row r="39" spans="2:5" s="102" customFormat="1" ht="15" x14ac:dyDescent="0.25">
      <c r="B39" s="150" t="s">
        <v>130</v>
      </c>
      <c r="C39" s="153">
        <f>30+(3*TRUNC(1/C33))</f>
        <v>36</v>
      </c>
    </row>
    <row r="40" spans="2:5" s="102" customFormat="1" ht="15" x14ac:dyDescent="0.25">
      <c r="B40" s="152" t="s">
        <v>39</v>
      </c>
      <c r="C40" s="290">
        <v>0.08</v>
      </c>
    </row>
    <row r="41" spans="2:5" s="102" customFormat="1" ht="15.75" thickBot="1" x14ac:dyDescent="0.3">
      <c r="B41" s="155" t="s">
        <v>129</v>
      </c>
      <c r="C41" s="292">
        <v>0.5</v>
      </c>
    </row>
  </sheetData>
  <mergeCells count="3">
    <mergeCell ref="B13:C13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G6" sqref="G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6" bestFit="1" customWidth="1"/>
    <col min="6" max="6" width="9.7109375" bestFit="1" customWidth="1"/>
  </cols>
  <sheetData>
    <row r="1" spans="1:8" s="140" customFormat="1" ht="14.25" x14ac:dyDescent="0.2">
      <c r="A1" s="11" t="s">
        <v>193</v>
      </c>
      <c r="B1" s="138"/>
      <c r="C1" s="138"/>
      <c r="E1" s="141"/>
    </row>
    <row r="2" spans="1:8" s="140" customFormat="1" ht="14.25" x14ac:dyDescent="0.2">
      <c r="A2" s="264" t="s">
        <v>295</v>
      </c>
      <c r="B2" s="138"/>
      <c r="C2" s="138"/>
      <c r="E2" s="141"/>
    </row>
    <row r="3" spans="1:8" s="140" customFormat="1" ht="14.25" x14ac:dyDescent="0.2">
      <c r="A3" s="9" t="s">
        <v>194</v>
      </c>
      <c r="B3" s="138"/>
      <c r="C3" s="138"/>
      <c r="E3" s="141"/>
    </row>
    <row r="4" spans="1:8" s="140" customFormat="1" ht="14.25" x14ac:dyDescent="0.2">
      <c r="A4" s="9"/>
      <c r="B4" s="138"/>
      <c r="C4" s="138"/>
      <c r="E4" s="141"/>
    </row>
    <row r="5" spans="1:8" s="140" customFormat="1" ht="15" thickBot="1" x14ac:dyDescent="0.25">
      <c r="B5" s="138"/>
      <c r="C5" s="138"/>
      <c r="E5" s="141"/>
    </row>
    <row r="6" spans="1:8" ht="15.75" x14ac:dyDescent="0.2">
      <c r="A6" s="347" t="s">
        <v>219</v>
      </c>
      <c r="B6" s="348"/>
      <c r="C6" s="348"/>
      <c r="D6" s="348"/>
      <c r="E6" s="348"/>
      <c r="F6" s="349"/>
    </row>
    <row r="7" spans="1:8" ht="16.5" thickBot="1" x14ac:dyDescent="0.25">
      <c r="A7" s="244"/>
      <c r="B7" s="245"/>
      <c r="C7" s="245"/>
      <c r="D7" s="245"/>
      <c r="E7" s="245"/>
      <c r="F7" s="246"/>
    </row>
    <row r="8" spans="1:8" ht="15" x14ac:dyDescent="0.25">
      <c r="A8" s="204"/>
      <c r="B8" s="139"/>
      <c r="C8" s="139"/>
      <c r="D8" s="344" t="s">
        <v>237</v>
      </c>
      <c r="E8" s="345"/>
      <c r="F8" s="346"/>
      <c r="G8" s="140"/>
      <c r="H8" s="140"/>
    </row>
    <row r="9" spans="1:8" ht="15" thickBot="1" x14ac:dyDescent="0.25">
      <c r="A9" s="201"/>
      <c r="B9" s="205"/>
      <c r="C9" s="205"/>
      <c r="D9" s="206" t="s">
        <v>180</v>
      </c>
      <c r="E9" s="207" t="s">
        <v>181</v>
      </c>
      <c r="F9" s="208" t="s">
        <v>182</v>
      </c>
      <c r="G9" s="140"/>
      <c r="H9" s="140"/>
    </row>
    <row r="10" spans="1:8" ht="14.25" x14ac:dyDescent="0.2">
      <c r="A10" s="299" t="s">
        <v>68</v>
      </c>
      <c r="B10" s="209" t="s">
        <v>69</v>
      </c>
      <c r="C10" s="210">
        <v>5.0799999999999998E-2</v>
      </c>
      <c r="D10" s="230">
        <v>2.9700000000000001E-2</v>
      </c>
      <c r="E10" s="231">
        <v>5.0799999999999998E-2</v>
      </c>
      <c r="F10" s="232">
        <v>6.2700000000000006E-2</v>
      </c>
      <c r="G10" s="140"/>
      <c r="H10" s="140"/>
    </row>
    <row r="11" spans="1:8" ht="14.25" x14ac:dyDescent="0.2">
      <c r="A11" s="212" t="s">
        <v>70</v>
      </c>
      <c r="B11" s="213" t="s">
        <v>71</v>
      </c>
      <c r="C11" s="214">
        <v>0</v>
      </c>
      <c r="D11" s="230">
        <f>0.3%+0.56%</f>
        <v>8.6E-3</v>
      </c>
      <c r="E11" s="231">
        <f>0.48%+0.85%</f>
        <v>1.3299999999999999E-2</v>
      </c>
      <c r="F11" s="232">
        <f>0.82%+0.89%</f>
        <v>1.7099999999999997E-2</v>
      </c>
      <c r="G11" s="140"/>
      <c r="H11" s="140"/>
    </row>
    <row r="12" spans="1:8" ht="14.25" x14ac:dyDescent="0.2">
      <c r="A12" s="296" t="s">
        <v>72</v>
      </c>
      <c r="B12" s="213" t="s">
        <v>73</v>
      </c>
      <c r="C12" s="214">
        <v>0.1085</v>
      </c>
      <c r="D12" s="230">
        <v>7.7799999999999994E-2</v>
      </c>
      <c r="E12" s="231">
        <v>0.1085</v>
      </c>
      <c r="F12" s="232">
        <v>0.13550000000000001</v>
      </c>
      <c r="G12" s="140"/>
      <c r="H12" s="140"/>
    </row>
    <row r="13" spans="1:8" ht="14.25" x14ac:dyDescent="0.2">
      <c r="A13" s="298" t="s">
        <v>74</v>
      </c>
      <c r="B13" s="213" t="s">
        <v>75</v>
      </c>
      <c r="C13" s="215">
        <f>(1+E13)^(E14/252)-1</f>
        <v>0</v>
      </c>
      <c r="D13" s="230" t="s">
        <v>271</v>
      </c>
      <c r="E13" s="216">
        <v>0</v>
      </c>
      <c r="F13" s="211"/>
      <c r="G13" s="140"/>
      <c r="H13" s="140"/>
    </row>
    <row r="14" spans="1:8" ht="14.25" x14ac:dyDescent="0.2">
      <c r="A14" s="296" t="s">
        <v>76</v>
      </c>
      <c r="B14" s="342" t="s">
        <v>77</v>
      </c>
      <c r="C14" s="214">
        <v>0.03</v>
      </c>
      <c r="D14" s="283" t="s">
        <v>183</v>
      </c>
      <c r="E14" s="217">
        <v>10</v>
      </c>
      <c r="F14" s="218"/>
      <c r="G14" s="140"/>
      <c r="H14" s="140"/>
    </row>
    <row r="15" spans="1:8" ht="15" thickBot="1" x14ac:dyDescent="0.25">
      <c r="A15" s="297" t="s">
        <v>78</v>
      </c>
      <c r="B15" s="343"/>
      <c r="C15" s="219">
        <v>3.6499999999999998E-2</v>
      </c>
      <c r="D15" s="195"/>
      <c r="E15" s="220"/>
      <c r="F15" s="218"/>
      <c r="G15" s="140"/>
      <c r="H15" s="140"/>
    </row>
    <row r="16" spans="1:8" ht="14.25" x14ac:dyDescent="0.2">
      <c r="A16" s="221" t="s">
        <v>79</v>
      </c>
      <c r="B16" s="222"/>
      <c r="C16" s="223"/>
      <c r="D16" s="195"/>
      <c r="E16" s="220"/>
      <c r="F16" s="218"/>
      <c r="G16" s="140"/>
      <c r="H16" s="140"/>
    </row>
    <row r="17" spans="1:8" ht="15" thickBot="1" x14ac:dyDescent="0.25">
      <c r="A17" s="224" t="s">
        <v>80</v>
      </c>
      <c r="B17" s="225"/>
      <c r="C17" s="226"/>
      <c r="D17" s="195"/>
      <c r="E17" s="220"/>
      <c r="F17" s="218"/>
      <c r="G17" s="140"/>
      <c r="H17" s="140"/>
    </row>
    <row r="18" spans="1:8" ht="15.75" thickBot="1" x14ac:dyDescent="0.25">
      <c r="A18" s="227" t="s">
        <v>81</v>
      </c>
      <c r="B18" s="228"/>
      <c r="C18" s="229">
        <f>ROUND((((1+C10+C11)*(1+C12)*(1+C13))/(1-(C14+C15))-1),4)</f>
        <v>0.24779999999999999</v>
      </c>
      <c r="D18" s="233">
        <v>0.21429999999999999</v>
      </c>
      <c r="E18" s="234">
        <v>0.2717</v>
      </c>
      <c r="F18" s="235">
        <v>0.3362</v>
      </c>
      <c r="G18" s="140"/>
      <c r="H18" s="140"/>
    </row>
    <row r="19" spans="1:8" ht="14.25" x14ac:dyDescent="0.2">
      <c r="A19" s="140"/>
      <c r="B19" s="140"/>
      <c r="C19" s="140"/>
      <c r="D19" s="140"/>
      <c r="E19" s="141"/>
      <c r="F19" s="140"/>
      <c r="G19" s="140"/>
      <c r="H19" s="140"/>
    </row>
    <row r="20" spans="1:8" ht="14.25" x14ac:dyDescent="0.2">
      <c r="A20" s="140"/>
      <c r="B20" s="140"/>
      <c r="C20" s="140"/>
      <c r="D20" s="140"/>
      <c r="E20" s="141"/>
      <c r="F20" s="140"/>
      <c r="G20" s="140"/>
      <c r="H20" s="140"/>
    </row>
    <row r="21" spans="1:8" ht="14.25" x14ac:dyDescent="0.2">
      <c r="A21" s="140"/>
      <c r="B21" s="140"/>
      <c r="C21" s="140"/>
      <c r="D21" s="140"/>
      <c r="E21" s="141"/>
      <c r="F21" s="140"/>
      <c r="G21" s="140"/>
      <c r="H21" s="140"/>
    </row>
    <row r="22" spans="1:8" ht="14.25" x14ac:dyDescent="0.2">
      <c r="A22" s="140"/>
      <c r="B22" s="140"/>
      <c r="C22" s="140"/>
      <c r="D22" s="140"/>
      <c r="E22" s="141"/>
      <c r="F22" s="140"/>
      <c r="G22" s="140"/>
      <c r="H22" s="140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2" sqref="B12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50" t="s">
        <v>221</v>
      </c>
      <c r="B1" s="351"/>
    </row>
    <row r="2" spans="1:2" s="102" customFormat="1" ht="19.5" customHeight="1" x14ac:dyDescent="0.2">
      <c r="A2" s="247" t="s">
        <v>201</v>
      </c>
      <c r="B2" s="248" t="s">
        <v>273</v>
      </c>
    </row>
    <row r="3" spans="1:2" ht="19.5" customHeight="1" x14ac:dyDescent="0.2">
      <c r="A3" s="157">
        <v>1</v>
      </c>
      <c r="B3" s="156">
        <v>33.629999999999995</v>
      </c>
    </row>
    <row r="4" spans="1:2" ht="19.5" customHeight="1" x14ac:dyDescent="0.2">
      <c r="A4" s="157">
        <v>2</v>
      </c>
      <c r="B4" s="156">
        <v>43.13</v>
      </c>
    </row>
    <row r="5" spans="1:2" ht="19.5" customHeight="1" x14ac:dyDescent="0.2">
      <c r="A5" s="157">
        <v>3</v>
      </c>
      <c r="B5" s="156">
        <v>48.68</v>
      </c>
    </row>
    <row r="6" spans="1:2" ht="19.5" customHeight="1" x14ac:dyDescent="0.2">
      <c r="A6" s="157">
        <v>4</v>
      </c>
      <c r="B6" s="156">
        <v>52.62</v>
      </c>
    </row>
    <row r="7" spans="1:2" ht="19.5" customHeight="1" x14ac:dyDescent="0.2">
      <c r="A7" s="157">
        <v>5</v>
      </c>
      <c r="B7" s="156">
        <v>55.679999999999993</v>
      </c>
    </row>
    <row r="8" spans="1:2" ht="19.5" customHeight="1" x14ac:dyDescent="0.2">
      <c r="A8" s="157">
        <v>6</v>
      </c>
      <c r="B8" s="156">
        <v>58.18</v>
      </c>
    </row>
    <row r="9" spans="1:2" ht="19.5" customHeight="1" x14ac:dyDescent="0.2">
      <c r="A9" s="157">
        <v>7</v>
      </c>
      <c r="B9" s="156">
        <v>60.29</v>
      </c>
    </row>
    <row r="10" spans="1:2" ht="19.5" customHeight="1" x14ac:dyDescent="0.2">
      <c r="A10" s="157">
        <v>8</v>
      </c>
      <c r="B10" s="156">
        <v>62.12</v>
      </c>
    </row>
    <row r="11" spans="1:2" ht="19.5" customHeight="1" x14ac:dyDescent="0.2">
      <c r="A11" s="157">
        <v>9</v>
      </c>
      <c r="B11" s="156">
        <v>63.73</v>
      </c>
    </row>
    <row r="12" spans="1:2" ht="19.5" customHeight="1" x14ac:dyDescent="0.2">
      <c r="A12" s="157">
        <v>10</v>
      </c>
      <c r="B12" s="156">
        <v>65.180000000000007</v>
      </c>
    </row>
    <row r="13" spans="1:2" ht="19.5" customHeight="1" x14ac:dyDescent="0.2">
      <c r="A13" s="157">
        <v>11</v>
      </c>
      <c r="B13" s="156">
        <v>66.47999999999999</v>
      </c>
    </row>
    <row r="14" spans="1:2" ht="19.5" customHeight="1" x14ac:dyDescent="0.2">
      <c r="A14" s="157">
        <v>12</v>
      </c>
      <c r="B14" s="156">
        <v>67.67</v>
      </c>
    </row>
    <row r="15" spans="1:2" ht="19.5" customHeight="1" x14ac:dyDescent="0.2">
      <c r="A15" s="157">
        <v>13</v>
      </c>
      <c r="B15" s="156">
        <v>68.77</v>
      </c>
    </row>
    <row r="16" spans="1:2" ht="19.5" customHeight="1" x14ac:dyDescent="0.2">
      <c r="A16" s="157">
        <v>14</v>
      </c>
      <c r="B16" s="156">
        <v>69.789999999999992</v>
      </c>
    </row>
    <row r="17" spans="1:2" ht="19.5" customHeight="1" thickBot="1" x14ac:dyDescent="0.25">
      <c r="A17" s="158">
        <v>15</v>
      </c>
      <c r="B17" s="159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39" t="s">
        <v>225</v>
      </c>
    </row>
    <row r="2" spans="1:1" x14ac:dyDescent="0.2">
      <c r="A2" s="236"/>
    </row>
    <row r="3" spans="1:1" x14ac:dyDescent="0.2">
      <c r="A3" s="236" t="s">
        <v>240</v>
      </c>
    </row>
    <row r="4" spans="1:1" x14ac:dyDescent="0.2">
      <c r="A4" s="236"/>
    </row>
    <row r="5" spans="1:1" x14ac:dyDescent="0.2">
      <c r="A5" s="236"/>
    </row>
    <row r="6" spans="1:1" x14ac:dyDescent="0.2">
      <c r="A6" s="236"/>
    </row>
    <row r="7" spans="1:1" x14ac:dyDescent="0.2">
      <c r="A7" s="236"/>
    </row>
    <row r="8" spans="1:1" x14ac:dyDescent="0.2">
      <c r="A8" s="236"/>
    </row>
    <row r="9" spans="1:1" x14ac:dyDescent="0.2">
      <c r="A9" s="236"/>
    </row>
    <row r="10" spans="1:1" x14ac:dyDescent="0.2">
      <c r="A10" s="236"/>
    </row>
    <row r="11" spans="1:1" x14ac:dyDescent="0.2">
      <c r="A11" s="236"/>
    </row>
    <row r="12" spans="1:1" ht="19.5" x14ac:dyDescent="0.35">
      <c r="A12" s="237" t="s">
        <v>222</v>
      </c>
    </row>
    <row r="13" spans="1:1" ht="15" x14ac:dyDescent="0.2">
      <c r="A13" s="237" t="s">
        <v>99</v>
      </c>
    </row>
    <row r="14" spans="1:1" ht="15" x14ac:dyDescent="0.2">
      <c r="A14" s="237" t="s">
        <v>104</v>
      </c>
    </row>
    <row r="15" spans="1:1" ht="19.5" x14ac:dyDescent="0.35">
      <c r="A15" s="237" t="s">
        <v>223</v>
      </c>
    </row>
    <row r="16" spans="1:1" ht="19.5" x14ac:dyDescent="0.35">
      <c r="A16" s="237" t="s">
        <v>224</v>
      </c>
    </row>
    <row r="17" spans="1:1" ht="15.75" thickBot="1" x14ac:dyDescent="0.25">
      <c r="A17" s="238" t="s">
        <v>100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J7" sqref="J7"/>
    </sheetView>
  </sheetViews>
  <sheetFormatPr defaultRowHeight="12.75" x14ac:dyDescent="0.2"/>
  <cols>
    <col min="1" max="1" width="58.28515625" style="259" customWidth="1"/>
    <col min="2" max="2" width="11.140625" style="259" bestFit="1" customWidth="1"/>
    <col min="3" max="3" width="11.28515625" style="259" bestFit="1" customWidth="1"/>
    <col min="4" max="16384" width="9.140625" style="259"/>
  </cols>
  <sheetData>
    <row r="1" spans="1:3" x14ac:dyDescent="0.2">
      <c r="A1" s="11" t="s">
        <v>193</v>
      </c>
    </row>
    <row r="2" spans="1:3" x14ac:dyDescent="0.2">
      <c r="A2" s="264" t="s">
        <v>248</v>
      </c>
    </row>
    <row r="3" spans="1:3" x14ac:dyDescent="0.2">
      <c r="A3" s="264" t="s">
        <v>274</v>
      </c>
    </row>
    <row r="4" spans="1:3" x14ac:dyDescent="0.2">
      <c r="A4" s="7" t="s">
        <v>272</v>
      </c>
    </row>
    <row r="5" spans="1:3" ht="13.5" thickBot="1" x14ac:dyDescent="0.25"/>
    <row r="6" spans="1:3" ht="18" x14ac:dyDescent="0.25">
      <c r="A6" s="352" t="s">
        <v>268</v>
      </c>
      <c r="B6" s="353"/>
      <c r="C6" s="354"/>
    </row>
    <row r="7" spans="1:3" s="265" customFormat="1" ht="18" x14ac:dyDescent="0.25">
      <c r="A7" s="280"/>
      <c r="B7" s="279"/>
      <c r="C7" s="281"/>
    </row>
    <row r="8" spans="1:3" s="102" customFormat="1" ht="15" x14ac:dyDescent="0.25">
      <c r="A8" s="266" t="s">
        <v>269</v>
      </c>
      <c r="B8" s="267" t="s">
        <v>249</v>
      </c>
      <c r="C8" s="268" t="s">
        <v>133</v>
      </c>
    </row>
    <row r="9" spans="1:3" ht="14.25" x14ac:dyDescent="0.2">
      <c r="A9" s="269" t="s">
        <v>257</v>
      </c>
      <c r="B9" s="270" t="s">
        <v>250</v>
      </c>
      <c r="C9" s="196">
        <v>8546</v>
      </c>
    </row>
    <row r="10" spans="1:3" ht="14.25" x14ac:dyDescent="0.2">
      <c r="A10" s="195" t="s">
        <v>258</v>
      </c>
      <c r="B10" s="271" t="s">
        <v>255</v>
      </c>
      <c r="C10" s="272">
        <f>0.0362741*C9^0.2336249</f>
        <v>0.30071449164787589</v>
      </c>
    </row>
    <row r="11" spans="1:3" ht="14.25" x14ac:dyDescent="0.2">
      <c r="A11" s="195" t="s">
        <v>259</v>
      </c>
      <c r="B11" s="271" t="s">
        <v>256</v>
      </c>
      <c r="C11" s="273">
        <f>C9*C10/1000</f>
        <v>2.5699060456227474</v>
      </c>
    </row>
    <row r="12" spans="1:3" ht="14.25" x14ac:dyDescent="0.2">
      <c r="A12" s="195" t="s">
        <v>265</v>
      </c>
      <c r="B12" s="271" t="s">
        <v>251</v>
      </c>
      <c r="C12" s="274">
        <f>(C11*30)</f>
        <v>77.097181368682428</v>
      </c>
    </row>
    <row r="13" spans="1:3" ht="14.25" x14ac:dyDescent="0.2">
      <c r="A13" s="195" t="s">
        <v>261</v>
      </c>
      <c r="B13" s="271" t="s">
        <v>85</v>
      </c>
      <c r="C13" s="277">
        <v>3</v>
      </c>
    </row>
    <row r="14" spans="1:3" ht="14.25" x14ac:dyDescent="0.2">
      <c r="A14" s="195" t="s">
        <v>260</v>
      </c>
      <c r="B14" s="271" t="s">
        <v>256</v>
      </c>
      <c r="C14" s="273">
        <f>IFERROR(C11*7/C13,0)</f>
        <v>5.9964474397864107</v>
      </c>
    </row>
    <row r="15" spans="1:3" ht="14.25" x14ac:dyDescent="0.2">
      <c r="A15" s="269" t="s">
        <v>252</v>
      </c>
      <c r="B15" s="271" t="s">
        <v>253</v>
      </c>
      <c r="C15" s="218">
        <v>500</v>
      </c>
    </row>
    <row r="16" spans="1:3" ht="14.25" x14ac:dyDescent="0.2">
      <c r="A16" s="195" t="s">
        <v>266</v>
      </c>
      <c r="B16" s="271"/>
      <c r="C16" s="196">
        <v>2</v>
      </c>
    </row>
    <row r="17" spans="1:4" ht="14.25" x14ac:dyDescent="0.2">
      <c r="A17" s="269" t="s">
        <v>267</v>
      </c>
      <c r="B17" s="271" t="s">
        <v>254</v>
      </c>
      <c r="C17" s="196">
        <v>6</v>
      </c>
      <c r="D17" s="259">
        <v>1</v>
      </c>
    </row>
    <row r="18" spans="1:4" ht="14.25" x14ac:dyDescent="0.2">
      <c r="A18" s="195" t="s">
        <v>262</v>
      </c>
      <c r="B18" s="271" t="s">
        <v>251</v>
      </c>
      <c r="C18" s="218">
        <f>IF(AND(C17&gt;=15,C16=1),5.8,C17/2)</f>
        <v>3</v>
      </c>
    </row>
    <row r="19" spans="1:4" ht="14.25" x14ac:dyDescent="0.2">
      <c r="A19" s="269" t="s">
        <v>263</v>
      </c>
      <c r="B19" s="271"/>
      <c r="C19" s="273">
        <f>IFERROR(C14/C18,0)</f>
        <v>1.998815813262137</v>
      </c>
    </row>
    <row r="20" spans="1:4" ht="14.25" x14ac:dyDescent="0.2">
      <c r="A20" s="269" t="s">
        <v>270</v>
      </c>
      <c r="B20" s="271"/>
      <c r="C20" s="282">
        <v>1</v>
      </c>
    </row>
    <row r="21" spans="1:4" ht="15" thickBot="1" x14ac:dyDescent="0.25">
      <c r="A21" s="275" t="s">
        <v>264</v>
      </c>
      <c r="B21" s="276"/>
      <c r="C21" s="278">
        <f>IFERROR(C19/C20,0)</f>
        <v>1.998815813262137</v>
      </c>
    </row>
  </sheetData>
  <mergeCells count="1">
    <mergeCell ref="A6:C6"/>
  </mergeCells>
  <conditionalFormatting sqref="C18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2017-08-10T17:29:27Z</cp:lastPrinted>
  <dcterms:created xsi:type="dcterms:W3CDTF">2000-12-13T10:02:50Z</dcterms:created>
  <dcterms:modified xsi:type="dcterms:W3CDTF">2020-01-09T13:24:55Z</dcterms:modified>
</cp:coreProperties>
</file>